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bookViews>
    <workbookView xWindow="65416" yWindow="65416" windowWidth="29040" windowHeight="15840" activeTab="0"/>
  </bookViews>
  <sheets>
    <sheet name="Rekapitulace stavby" sheetId="1" r:id="rId1"/>
    <sheet name="01 - Stavební část" sheetId="2" r:id="rId2"/>
    <sheet name="02 - Zdravotechnika" sheetId="3" r:id="rId3"/>
    <sheet name="03 - Vytápění" sheetId="4" r:id="rId4"/>
    <sheet name="04 - Elektroinstalace" sheetId="5" r:id="rId5"/>
    <sheet name="05 - VZT" sheetId="6" r:id="rId6"/>
    <sheet name="06 - Interiérové vybavení" sheetId="7" r:id="rId7"/>
    <sheet name="07 - VRN" sheetId="8" r:id="rId8"/>
    <sheet name="Pokyny pro vyplnění" sheetId="9" r:id="rId9"/>
  </sheets>
  <definedNames>
    <definedName name="_xlnm._FilterDatabase" localSheetId="1" hidden="1">'01 - Stavební část'!$C$96:$K$709</definedName>
    <definedName name="_xlnm._FilterDatabase" localSheetId="2" hidden="1">'02 - Zdravotechnika'!$C$93:$K$355</definedName>
    <definedName name="_xlnm._FilterDatabase" localSheetId="3" hidden="1">'03 - Vytápění'!$C$90:$K$192</definedName>
    <definedName name="_xlnm._FilterDatabase" localSheetId="4" hidden="1">'04 - Elektroinstalace'!$C$88:$K$249</definedName>
    <definedName name="_xlnm._FilterDatabase" localSheetId="5" hidden="1">'05 - VZT'!$C$87:$K$163</definedName>
    <definedName name="_xlnm._FilterDatabase" localSheetId="6" hidden="1">'06 - Interiérové vybavení'!$C$81:$K$137</definedName>
    <definedName name="_xlnm._FilterDatabase" localSheetId="7" hidden="1">'07 - VRN'!$C$81:$K$89</definedName>
    <definedName name="_xlnm.Print_Area" localSheetId="1">'01 - Stavební část'!$C$4:$J$39,'01 - Stavební část'!$C$45:$J$78,'01 - Stavební část'!$C$84:$K$709</definedName>
    <definedName name="_xlnm.Print_Area" localSheetId="2">'02 - Zdravotechnika'!$C$4:$J$39,'02 - Zdravotechnika'!$C$45:$J$75,'02 - Zdravotechnika'!$C$81:$K$355</definedName>
    <definedName name="_xlnm.Print_Area" localSheetId="3">'03 - Vytápění'!$C$4:$J$39,'03 - Vytápění'!$C$45:$J$72,'03 - Vytápění'!$C$78:$K$192</definedName>
    <definedName name="_xlnm.Print_Area" localSheetId="4">'04 - Elektroinstalace'!$C$4:$J$39,'04 - Elektroinstalace'!$C$45:$J$70,'04 - Elektroinstalace'!$C$76:$K$249</definedName>
    <definedName name="_xlnm.Print_Area" localSheetId="5">'05 - VZT'!$C$4:$J$39,'05 - VZT'!$C$45:$J$69,'05 - VZT'!$C$75:$K$163</definedName>
    <definedName name="_xlnm.Print_Area" localSheetId="6">'06 - Interiérové vybavení'!$C$4:$J$39,'06 - Interiérové vybavení'!$C$45:$J$63,'06 - Interiérové vybavení'!$C$69:$K$137</definedName>
    <definedName name="_xlnm.Print_Area" localSheetId="7">'07 - VRN'!$C$4:$J$39,'07 - VRN'!$C$45:$J$63,'07 - VRN'!$C$69:$K$89</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Titles" localSheetId="0">'Rekapitulace stavby'!$52:$52</definedName>
    <definedName name="_xlnm.Print_Titles" localSheetId="1">'01 - Stavební část'!$96:$96</definedName>
    <definedName name="_xlnm.Print_Titles" localSheetId="2">'02 - Zdravotechnika'!$93:$93</definedName>
    <definedName name="_xlnm.Print_Titles" localSheetId="3">'03 - Vytápění'!$90:$90</definedName>
    <definedName name="_xlnm.Print_Titles" localSheetId="4">'04 - Elektroinstalace'!$88:$88</definedName>
    <definedName name="_xlnm.Print_Titles" localSheetId="5">'05 - VZT'!$87:$87</definedName>
    <definedName name="_xlnm.Print_Titles" localSheetId="6">'06 - Interiérové vybavení'!$81:$81</definedName>
    <definedName name="_xlnm.Print_Titles" localSheetId="7">'07 - VRN'!$81:$81</definedName>
  </definedNames>
  <calcPr calcId="191029"/>
  <extLst/>
</workbook>
</file>

<file path=xl/sharedStrings.xml><?xml version="1.0" encoding="utf-8"?>
<sst xmlns="http://schemas.openxmlformats.org/spreadsheetml/2006/main" count="13847" uniqueCount="1935">
  <si>
    <t>Export Komplet</t>
  </si>
  <si>
    <t>VZ</t>
  </si>
  <si>
    <t>2.0</t>
  </si>
  <si>
    <t/>
  </si>
  <si>
    <t>False</t>
  </si>
  <si>
    <t>{f2609e9d-5a3c-4984-9ef0-fe88bee79bf1}</t>
  </si>
  <si>
    <t>&gt;&gt;  skryté sloupce  &lt;&lt;</t>
  </si>
  <si>
    <t>0,01</t>
  </si>
  <si>
    <t>21</t>
  </si>
  <si>
    <t>15</t>
  </si>
  <si>
    <t>REKAPITULACE STAVBY</t>
  </si>
  <si>
    <t>v ---  níže se nacházejí doplnkové a pomocné údaje k sestavám  --- v</t>
  </si>
  <si>
    <t>0,001</t>
  </si>
  <si>
    <t>Kód:</t>
  </si>
  <si>
    <t>OST-2020008</t>
  </si>
  <si>
    <t>Stavba:</t>
  </si>
  <si>
    <t>Rekonstrukce lékařských pokojů, skladových a technických prostor Nemocnice Nymburk s.r.o.</t>
  </si>
  <si>
    <t>KSO:</t>
  </si>
  <si>
    <t>801 11 96</t>
  </si>
  <si>
    <t>CC-CZ:</t>
  </si>
  <si>
    <t>1264</t>
  </si>
  <si>
    <t>Místo:</t>
  </si>
  <si>
    <t>Nymburk</t>
  </si>
  <si>
    <t>Datum:</t>
  </si>
  <si>
    <t>1. 9. 2020</t>
  </si>
  <si>
    <t>Zadavatel:</t>
  </si>
  <si>
    <t>IČ:</t>
  </si>
  <si>
    <t>28762886</t>
  </si>
  <si>
    <t>Nemocnice Nymburk s.r.o.</t>
  </si>
  <si>
    <t>DIČ:</t>
  </si>
  <si>
    <t>CZ28762886</t>
  </si>
  <si>
    <t>Zhotovitel:</t>
  </si>
  <si>
    <t xml:space="preserve"> </t>
  </si>
  <si>
    <t>Projektant:</t>
  </si>
  <si>
    <t>87577364</t>
  </si>
  <si>
    <t>Ing. arch. Pavel Petrák</t>
  </si>
  <si>
    <t>CZ8305093049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</si>
  <si>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</si>
  <si>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</si>
  <si>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</si>
  <si>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</si>
  <si>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</si>
  <si>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</si>
  <si>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</si>
  <si>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</si>
  <si>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</si>
  <si>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</si>
  <si>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</si>
  <si>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</si>
  <si>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</si>
  <si>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</si>
  <si>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</si>
  <si>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</si>
  <si>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</si>
  <si>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</si>
  <si>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</si>
  <si>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</si>
  <si>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</si>
  <si>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</si>
  <si>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</si>
  <si>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</si>
  <si>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</si>
  <si>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</si>
  <si>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</si>
  <si>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</si>
  <si>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</si>
  <si>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</si>
  <si>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</si>
  <si>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</si>
  <si>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</si>
  <si>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</si>
  <si>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</si>
  <si>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</si>
  <si>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</si>
  <si>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</si>
  <si>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</si>
  <si>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</si>
  <si>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</si>
  <si>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</si>
  <si>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</si>
  <si>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</si>
  <si>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</si>
  <si>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</si>
  <si>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</si>
  <si>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{eeb6fb7f-35e4-4d7d-a6b0-a90340017859}</t>
  </si>
  <si>
    <t>2</t>
  </si>
  <si>
    <t>02</t>
  </si>
  <si>
    <t>Zdravotechnika</t>
  </si>
  <si>
    <t>{fbca14ec-ca63-4e47-b72b-312fed151f82}</t>
  </si>
  <si>
    <t>03</t>
  </si>
  <si>
    <t>Vytápění</t>
  </si>
  <si>
    <t>{8e76e5ce-3b27-469b-b572-c85514959e23}</t>
  </si>
  <si>
    <t>04</t>
  </si>
  <si>
    <t>Elektroinstalace</t>
  </si>
  <si>
    <t>{1f25ad92-4fe5-467e-9a91-20fb6becb107}</t>
  </si>
  <si>
    <t>05</t>
  </si>
  <si>
    <t>VZT</t>
  </si>
  <si>
    <t>{5092cd39-653c-4555-ae87-859a31ac8fc9}</t>
  </si>
  <si>
    <t>06</t>
  </si>
  <si>
    <t>Interiérové vybavení</t>
  </si>
  <si>
    <t>{023e2caa-9585-46c1-85f6-83dfa3c40adb}</t>
  </si>
  <si>
    <t>07</t>
  </si>
  <si>
    <t>VRN</t>
  </si>
  <si>
    <t>{28dbb35c-50be-47ea-8ca5-517739727674}</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</si>
  <si>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</si>
  <si>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</si>
  <si>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</si>
  <si>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</si>
  <si>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</si>
  <si>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</si>
  <si>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</si>
  <si>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</si>
  <si>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</si>
  <si>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</si>
  <si>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</si>
  <si>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</si>
  <si>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</si>
  <si>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</si>
  <si>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</si>
  <si>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</si>
  <si>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</si>
  <si>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</si>
  <si>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</si>
  <si>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</si>
  <si>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</si>
  <si>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</si>
  <si>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</si>
  <si>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</si>
  <si>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</si>
  <si>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</si>
  <si>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</si>
  <si>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</si>
  <si>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</si>
  <si>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</si>
  <si>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</si>
  <si>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</si>
  <si>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</si>
  <si>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</si>
  <si>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</si>
  <si>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</si>
  <si>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</si>
  <si>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</si>
  <si>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</si>
  <si>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</si>
  <si>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</si>
  <si>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</si>
  <si>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</si>
  <si>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</si>
  <si>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31027984R</t>
  </si>
  <si>
    <t>Zazdívka otvorů ve zdivu nadzákladovém nepálenými tvárnicemi plochy přes 1 m2 do 4 m2 , ve zdi tl. přes 300 mm</t>
  </si>
  <si>
    <t>m3</t>
  </si>
  <si>
    <t>R-položka</t>
  </si>
  <si>
    <t>4</t>
  </si>
  <si>
    <t>-1233382565</t>
  </si>
  <si>
    <t>VV</t>
  </si>
  <si>
    <t>viz výkr. Půdorys 1.a 2.NP - návrh, Řez objektem a další</t>
  </si>
  <si>
    <t>kus</t>
  </si>
  <si>
    <t>CS ÚRS 2020 02</t>
  </si>
  <si>
    <t>PSC</t>
  </si>
  <si>
    <t>viz výkr. Půdorys 1.a 2.NP - návrh, Řez objektem, Tabulka překladů a další</t>
  </si>
  <si>
    <t>"1.NP" 4</t>
  </si>
  <si>
    <t>Součet</t>
  </si>
  <si>
    <t>317234410</t>
  </si>
  <si>
    <t>Vyzdívka mezi nosníky cihlami pálenými na maltu cementovou</t>
  </si>
  <si>
    <t>1032617148</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</si>
  <si>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</si>
  <si>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1.NP</t>
  </si>
  <si>
    <t>2.NP</t>
  </si>
  <si>
    <t>317941121</t>
  </si>
  <si>
    <t>Osazování ocelových válcovaných nosníků na zdivu I nebo IE nebo U nebo UE nebo L do č. 12 nebo výšky do 120 mm</t>
  </si>
  <si>
    <t>t</t>
  </si>
  <si>
    <t>1583188428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</si>
  <si>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</si>
  <si>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5</t>
  </si>
  <si>
    <t>M</t>
  </si>
  <si>
    <t>13010710</t>
  </si>
  <si>
    <t>ocel profilová IPN 80 jakost 11 375</t>
  </si>
  <si>
    <t>8</t>
  </si>
  <si>
    <t>2130869046</t>
  </si>
  <si>
    <t>6</t>
  </si>
  <si>
    <t>7</t>
  </si>
  <si>
    <t>340271021</t>
  </si>
  <si>
    <t>Zazdívka otvorů v příčkách nebo stěnách pórobetonovými tvárnicemi plochy přes 0,025 m2 do 1 m2, objemová hmotnost 500 kg/m3, tloušťka příčky 100 mm</t>
  </si>
  <si>
    <t>m2</t>
  </si>
  <si>
    <t>-366094246</t>
  </si>
  <si>
    <t>340271025</t>
  </si>
  <si>
    <t>Zazdívka otvorů v příčkách nebo stěnách pórobetonovými tvárnicemi plochy přes 1 m2 do 4 m2, objemová hmotnost 500 kg/m3, tloušťka příčky 100 mm</t>
  </si>
  <si>
    <t>-1215975772</t>
  </si>
  <si>
    <t>9</t>
  </si>
  <si>
    <t>10</t>
  </si>
  <si>
    <t>342272225</t>
  </si>
  <si>
    <t>Příčky z pórobetonových tvárnic hladkých na tenké maltové lože objemová hmotnost do 500 kg/m3, tloušťka příčky 100 mm</t>
  </si>
  <si>
    <t>-251552535</t>
  </si>
  <si>
    <t>11</t>
  </si>
  <si>
    <t>342272245</t>
  </si>
  <si>
    <t>Příčky z pórobetonových tvárnic hladkých na tenké maltové lože objemová hmotnost do 500 kg/m3, tloušťka příčky 150 mm</t>
  </si>
  <si>
    <t>-1806496993</t>
  </si>
  <si>
    <t>(3,9+2*3,92)*2,67</t>
  </si>
  <si>
    <t>12</t>
  </si>
  <si>
    <t>342291111</t>
  </si>
  <si>
    <t>Ukotvení příček polyuretanovou pěnou, tl. příčky do 100 mm</t>
  </si>
  <si>
    <t>m</t>
  </si>
  <si>
    <t>2008392178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</si>
  <si>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</si>
  <si>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13</t>
  </si>
  <si>
    <t>342291112</t>
  </si>
  <si>
    <t>Ukotvení příček polyuretanovou pěnou, tl. příčky přes 100 mm</t>
  </si>
  <si>
    <t>1093334582</t>
  </si>
  <si>
    <t>3,9+2*3,92</t>
  </si>
  <si>
    <t>14</t>
  </si>
  <si>
    <t>342291121</t>
  </si>
  <si>
    <t>Ukotvení příček plochými kotvami, do konstrukce cihelné</t>
  </si>
  <si>
    <t>-1294178354</t>
  </si>
  <si>
    <t>346244381</t>
  </si>
  <si>
    <t>Plentování ocelových válcovaných nosníků jednostranné cihlami na maltu, výška stojiny do 200 mm</t>
  </si>
  <si>
    <t>-1644783241</t>
  </si>
  <si>
    <t>viz předchozí výpočty</t>
  </si>
  <si>
    <t>Úpravy povrchů, podlahy a osazování výplní</t>
  </si>
  <si>
    <t>16</t>
  </si>
  <si>
    <t>viz Tabulka oken a dveří</t>
  </si>
  <si>
    <t>"okna" (18+19)*(0,9*1,5)+1*(2,4*0,75)</t>
  </si>
  <si>
    <t>"exteriérové dveře" 1*(1,16*1,97)+1*(1,45*2,51)+1*(1,36*1,97)+1*(2,32*2,51)</t>
  </si>
  <si>
    <t>17</t>
  </si>
  <si>
    <t>18</t>
  </si>
  <si>
    <t>19</t>
  </si>
  <si>
    <t>20</t>
  </si>
  <si>
    <t>22</t>
  </si>
  <si>
    <t>23</t>
  </si>
  <si>
    <t>24</t>
  </si>
  <si>
    <t>25</t>
  </si>
  <si>
    <t>26</t>
  </si>
  <si>
    <t>27</t>
  </si>
  <si>
    <t>viz výkr. Půdorys 1.a 2.NP - stávající stav + bourané kce, Řez objektem a další</t>
  </si>
  <si>
    <t>28</t>
  </si>
  <si>
    <t>29</t>
  </si>
  <si>
    <t>30</t>
  </si>
  <si>
    <t>632451101</t>
  </si>
  <si>
    <t>Potěr cementový samonivelační ze suchých směsí tloušťky přes 2 do 5 mm</t>
  </si>
  <si>
    <t>-1188112031</t>
  </si>
  <si>
    <t>viz výkr. části PD - D.2. Interiérové řešení</t>
  </si>
  <si>
    <t>Mezisoučet</t>
  </si>
  <si>
    <t>31</t>
  </si>
  <si>
    <t>633811111</t>
  </si>
  <si>
    <t>Broušení betonových podlah nerovností do 2 mm (stržení šlemu)</t>
  </si>
  <si>
    <t>-878966438</t>
  </si>
  <si>
    <t>viz předchození výpočty</t>
  </si>
  <si>
    <t>"po stržení linoela" 279,73</t>
  </si>
  <si>
    <t>"po vybourání dlažby" 40,4</t>
  </si>
  <si>
    <t>32</t>
  </si>
  <si>
    <t>633811119</t>
  </si>
  <si>
    <t>Broušení betonových podlah Příplatek k ceně za každý další 1 mm úběru</t>
  </si>
  <si>
    <t>-1718702028</t>
  </si>
  <si>
    <t>33</t>
  </si>
  <si>
    <t>642944121</t>
  </si>
  <si>
    <t>Osazení ocelových dveřních zárubní lisovaných nebo z úhelníků dodatečně s vybetonováním prahu, plochy do 2,5 m2</t>
  </si>
  <si>
    <t>-565369999</t>
  </si>
  <si>
    <t xml:space="preserve">Poznámka k souboru cen:
1. V cenách nejsou započteny náklady na dodání zárubní, tyto se oceňují ve specifikaci.
</t>
  </si>
  <si>
    <t>34</t>
  </si>
  <si>
    <t>55331430</t>
  </si>
  <si>
    <t>zárubeň jednokřídlá ocelová pro dodatečnou montáž tl stěny 75-100mm rozměru 600/1970, 2100mm</t>
  </si>
  <si>
    <t>-475618050</t>
  </si>
  <si>
    <t>viz výkr. Půdorys 1.a 2.NP - návrh, Řez objektem, Tabulka dveří a další</t>
  </si>
  <si>
    <t>35</t>
  </si>
  <si>
    <t>55331431</t>
  </si>
  <si>
    <t>zárubeň jednokřídlá ocelová pro dodatečnou montáž tl stěny 75-100mm rozměru 700/1970, 2100mm</t>
  </si>
  <si>
    <t>1999709273</t>
  </si>
  <si>
    <t>36</t>
  </si>
  <si>
    <t>55331432</t>
  </si>
  <si>
    <t>zárubeň jednokřídlá ocelová pro dodatečnou montáž tl stěny 75-100mm rozměru 800/1970, 2100mm</t>
  </si>
  <si>
    <t>-1936103903</t>
  </si>
  <si>
    <t>P</t>
  </si>
  <si>
    <t>Poznámka k položce:
PO EI (EW) 15 DP3, PODROBNÝ POPIS VIZ TABULKA DVEŘÍ</t>
  </si>
  <si>
    <t>37</t>
  </si>
  <si>
    <t>55331433</t>
  </si>
  <si>
    <t>zárubeň jednokřídlá ocelová pro dodatečnou montáž tl stěny 75-100mm rozměru 900/1970, 2100mm</t>
  </si>
  <si>
    <t>1457785423</t>
  </si>
  <si>
    <t>38</t>
  </si>
  <si>
    <t>-741924701</t>
  </si>
  <si>
    <t>Ostatní konstrukce a práce, bourání</t>
  </si>
  <si>
    <t>39</t>
  </si>
  <si>
    <t>949101111</t>
  </si>
  <si>
    <t>Lešení pomocné pracovní pro objekty pozemních staveb pro zatížení do 150 kg/m2, o výšce lešeňové podlahy do 1,9 m</t>
  </si>
  <si>
    <t>-1154693108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</si>
  <si>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</si>
  <si>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"m.č. 121 - Dílna" 21,25</t>
  </si>
  <si>
    <t>"m.č. 122 - Dílna- sklad" 16,88</t>
  </si>
  <si>
    <t>40</t>
  </si>
  <si>
    <t>962031132</t>
  </si>
  <si>
    <t>Bourání příček z cihel, tvárnic nebo příčkovek z cihel pálených, plných nebo dutých na maltu vápennou nebo vápenocementovou, tl. do 100 mm</t>
  </si>
  <si>
    <t>-2047153651</t>
  </si>
  <si>
    <t>2,9*3-0,8*1,97</t>
  </si>
  <si>
    <t>41</t>
  </si>
  <si>
    <t>965081213</t>
  </si>
  <si>
    <t>Bourání podlah z dlaždic bez podkladního lože nebo mazaniny, s jakoukoliv výplní spár keramických nebo xylolitových tl. do 10 mm, plochy přes 1 m2</t>
  </si>
  <si>
    <t>1763189028</t>
  </si>
  <si>
    <t xml:space="preserve">Poznámka k souboru cen:
1. Odsekání soklíků se oceňuje cenami souboru cen 965 08.
</t>
  </si>
  <si>
    <t>1,08+1,08+3,14+4,64+7,23+1,37+3,14+5,17+1,22+1,32</t>
  </si>
  <si>
    <t>5,07+5,94</t>
  </si>
  <si>
    <t>42</t>
  </si>
  <si>
    <t>968062375</t>
  </si>
  <si>
    <t>Vybourání dřevěných rámů oken s křídly, dveřních zárubní, vrat, stěn, ostění nebo obkladů rámů oken s křídly zdvojených, plochy do 2 m2</t>
  </si>
  <si>
    <t>-1566899316</t>
  </si>
  <si>
    <t xml:space="preserve">Poznámka k souboru cen:
1. V cenách -2244 až -2747 jsou započteny i náklady na vyvěšení křídel.
</t>
  </si>
  <si>
    <t>"okno rozm. 900x1500 mm" 16*(0,9*1,5)</t>
  </si>
  <si>
    <t>"okno rozm. 900x1500 mm" 21*(0,9*1,5)</t>
  </si>
  <si>
    <t>"okno rozm. 2400x750 mm" 1*(2,4*0,75)</t>
  </si>
  <si>
    <t>43</t>
  </si>
  <si>
    <t>968062376</t>
  </si>
  <si>
    <t>Vybourání dřevěných rámů oken s křídly, dveřních zárubní, vrat, stěn, ostění nebo obkladů rámů oken s křídly zdvojených, plochy do 4 m2</t>
  </si>
  <si>
    <t>-610359387</t>
  </si>
  <si>
    <t>44</t>
  </si>
  <si>
    <t>968072455</t>
  </si>
  <si>
    <t>Vybourání kovových rámů oken s křídly, dveřních zárubní, vrat, stěn, ostění nebo obkladů dveřních zárubní, plochy do 2 m2</t>
  </si>
  <si>
    <t>660583468</t>
  </si>
  <si>
    <t xml:space="preserve">Poznámka k souboru cen:
1. V cenách -2244 až -2559 jsou započteny i náklady na vyvěšení křídel.
2. Cenou -2641 se oceňuje i vybourání nosné ocelové konstrukce pro sádrokartonové příčky.
</t>
  </si>
  <si>
    <t>45</t>
  </si>
  <si>
    <t>971033621</t>
  </si>
  <si>
    <t>Vybourání otvorů ve zdivu základovém nebo nadzákladovém z cihel, tvárnic, příčkovek z cihel pálených na maltu vápennou nebo vápenocementovou plochy do 4 m2, tl. do 100 mm</t>
  </si>
  <si>
    <t>1308592426</t>
  </si>
  <si>
    <t>49</t>
  </si>
  <si>
    <t>978059541</t>
  </si>
  <si>
    <t>Odsekání obkladů stěn včetně otlučení podkladní omítky až na zdivo z obkládaček vnitřních, z jakýchkoliv materiálů, plochy přes 1 m2</t>
  </si>
  <si>
    <t>-1328308876</t>
  </si>
  <si>
    <t>"stáv. místnost s umyvadlem" (1,2+0,1)*1,65</t>
  </si>
  <si>
    <t>"WC" 2*(1+1,09)*1,5-0,6*1,5</t>
  </si>
  <si>
    <t>"umývárna" (1,72+2,7)*1,8-0,7*1,8</t>
  </si>
  <si>
    <t>"WC" 2*(0,89+1,37)*1,5-0,6*1,5</t>
  </si>
  <si>
    <t>"WC" 2*(0,89+1,48)*1,5-0,6*1,5</t>
  </si>
  <si>
    <t>"vstup na WC" (0,9+0,85+0,99)*1,5</t>
  </si>
  <si>
    <t>"umývárna" 2*(1,2+1,2)*1,8-(0,6+0,7)*1,8</t>
  </si>
  <si>
    <t>"sprch. kout vč. zádveří" (1,61+1,2+1,91+0,48)*1,65-0,6*1,65-(0,6+0,7)*1,8+2*(1,2+0,97)*2,1+0,1*2,1-0,72*2,1</t>
  </si>
  <si>
    <t>"vstup na soc. zař." 2*(4,13+2)*1,65-2*(0,8*1,65)-(0,6*1,65)</t>
  </si>
  <si>
    <t>"stáv. místnost s umyvadlem" (0,79+0,4)*1,5</t>
  </si>
  <si>
    <t>"kuchyňka" (2,05+1)*1,5</t>
  </si>
  <si>
    <t>997</t>
  </si>
  <si>
    <t>Přesun sutě</t>
  </si>
  <si>
    <t>51</t>
  </si>
  <si>
    <t>997013211</t>
  </si>
  <si>
    <t>Vnitrostaveništní doprava suti a vybouraných hmot vodorovně do 50 m svisle ručně pro budovy a haly výšky do 6 m</t>
  </si>
  <si>
    <t>54351242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</si>
  <si>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</si>
  <si>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52</t>
  </si>
  <si>
    <t>997013219</t>
  </si>
  <si>
    <t>Vnitrostaveništní doprava suti a vybouraných hmot vodorovně do 50 m Příplatek k cenám -3111 až -3217 za zvětšenou vodorovnou dopravu přes vymezenou dopravní vzdálenost za každých dalších i započatých 10 m</t>
  </si>
  <si>
    <t>524292567</t>
  </si>
  <si>
    <t>53</t>
  </si>
  <si>
    <t>997013501</t>
  </si>
  <si>
    <t>Odvoz suti a vybouraných hmot na skládku nebo meziskládku se složením, na vzdálenost do 1 km</t>
  </si>
  <si>
    <t>-1851956938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</si>
  <si>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</si>
  <si>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54</t>
  </si>
  <si>
    <t>997013509</t>
  </si>
  <si>
    <t>Odvoz suti a vybouraných hmot na skládku nebo meziskládku se složením, na vzdálenost Příplatek k ceně za každý další i započatý 1 km přes 1 km</t>
  </si>
  <si>
    <t>-1307515831</t>
  </si>
  <si>
    <t>55</t>
  </si>
  <si>
    <t>997013631</t>
  </si>
  <si>
    <t>Poplatek za uložení stavebního odpadu na skládce (skládkovné) směsného stavebního a demoličního zatříděného do Katalogu odpadů pod kódem 17 09 04</t>
  </si>
  <si>
    <t>1365421890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</si>
  <si>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</si>
  <si>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</si>
  <si>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</si>
  <si>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56</t>
  </si>
  <si>
    <t>998018001</t>
  </si>
  <si>
    <t>Přesun hmot pro budovy občanské výstavby, bydlení, výrobu a služby ruční - bez užití mechanizace vodorovná dopravní vzdálenost do 100 m pro budovy s jakoukoliv nosnou konstrukcí výšky do 6 m</t>
  </si>
  <si>
    <t>1374669751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</si>
  <si>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</si>
  <si>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</si>
  <si>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</si>
  <si>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</si>
  <si>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</si>
  <si>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57</t>
  </si>
  <si>
    <t>763131451</t>
  </si>
  <si>
    <t>Podhled ze sádrokartonových desek dvouvrstvá zavěšená spodní konstrukce z ocelových profilů CD, UD jednoduše opláštěná deskou impregnovanou H2, tl. 12,5 mm, bez izolace</t>
  </si>
  <si>
    <t>-1935990660</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</si>
  <si>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</si>
  <si>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Poznámka k položce:
PODHLEDY VE sv.v. : - 1.NP - 2700 mm, 2.NP - 2500 mm.</t>
  </si>
  <si>
    <t>58</t>
  </si>
  <si>
    <t>763131771</t>
  </si>
  <si>
    <t>Podhled ze sádrokartonových desek Příplatek k cenám za rovinnost kvality speciální tmelení kvality Q3</t>
  </si>
  <si>
    <t>539977447</t>
  </si>
  <si>
    <t>59</t>
  </si>
  <si>
    <t>763131714</t>
  </si>
  <si>
    <t>Podhled ze sádrokartonových desek ostatní práce a konstrukce na podhledech ze sádrokartonových desek základní penetrační nátěr</t>
  </si>
  <si>
    <t>-133375289</t>
  </si>
  <si>
    <t>60</t>
  </si>
  <si>
    <t>998763401</t>
  </si>
  <si>
    <t>Přesun hmot pro konstrukce montované z desek stanovený procentní sazbou (%) z ceny vodorovná dopravní vzdálenost do 50 m v objektech výšky do 6 m</t>
  </si>
  <si>
    <t>%</t>
  </si>
  <si>
    <t>-1210824143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</si>
  <si>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</si>
  <si>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61</t>
  </si>
  <si>
    <t>998763491</t>
  </si>
  <si>
    <t>Přesun hmot pro konstrukce montované z desek stanovený procentní sazbou (%) z ceny Příplatek k cenám za zvětšený přesun přes vymezenou dopravní vzdálenost do 100 m</t>
  </si>
  <si>
    <t>1729199415</t>
  </si>
  <si>
    <t>764</t>
  </si>
  <si>
    <t>Konstrukce klempířské</t>
  </si>
  <si>
    <t>62</t>
  </si>
  <si>
    <t>764002851</t>
  </si>
  <si>
    <t>Demontáž klempířských konstrukcí oplechování parapetů do suti</t>
  </si>
  <si>
    <t>1597303074</t>
  </si>
  <si>
    <t>"okno rozm. 900x1500 mm" 16*0,9</t>
  </si>
  <si>
    <t>"okno rozm. 1530x1500 mm" 1*1,53</t>
  </si>
  <si>
    <t>"okno rozm. 900x1500 mm" 21*0,9</t>
  </si>
  <si>
    <t>"okno rozm. 2400x750 mm" 1*2,4</t>
  </si>
  <si>
    <t>766</t>
  </si>
  <si>
    <t>Konstrukce truhlářské</t>
  </si>
  <si>
    <t>63</t>
  </si>
  <si>
    <t>766441812</t>
  </si>
  <si>
    <t>Demontáž parapetních desek dřevěných nebo plastových šířky přes 300 mm délky do 1 m</t>
  </si>
  <si>
    <t>-640956037</t>
  </si>
  <si>
    <t>"okno rozm. 900x1500 mm" 16</t>
  </si>
  <si>
    <t>"okno rozm. 900x1500 mm" 21</t>
  </si>
  <si>
    <t>64</t>
  </si>
  <si>
    <t>766441822</t>
  </si>
  <si>
    <t>Demontáž parapetních desek dřevěných nebo plastových šířky přes 300 mm délky přes 1 m</t>
  </si>
  <si>
    <t>-242129777</t>
  </si>
  <si>
    <t>"okno rozm. 1530x1500 mm" 1</t>
  </si>
  <si>
    <t>"okno rozm. 2400x750 mm" 1</t>
  </si>
  <si>
    <t>65</t>
  </si>
  <si>
    <t>766414241</t>
  </si>
  <si>
    <t>Montáž obložení stěn plochy do 5 m2 panely obkladovými z aglomerovaných desek, plochy do 0,60 m2</t>
  </si>
  <si>
    <t>1790760276</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</si>
  <si>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</si>
  <si>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"m.č. 209 - Šatna muži (D.2.34)" 2</t>
  </si>
  <si>
    <t>"m.č. 210 - Šatna ženy (D.2.36)" 2</t>
  </si>
  <si>
    <t>66</t>
  </si>
  <si>
    <t>766416241</t>
  </si>
  <si>
    <t>Montáž obložení stěn plochy přes 5 m2 panely obkladovými z aglomerovaných desek, plochy do 0,60 m2</t>
  </si>
  <si>
    <t>-1396934245</t>
  </si>
  <si>
    <t>"m.č. 119 - Příjem, kuchyňka (D.2.21)" 5,03</t>
  </si>
  <si>
    <t>"m.č. 203 - Kuchyňka + jídelna (D.2.30)" 5,34</t>
  </si>
  <si>
    <t>67</t>
  </si>
  <si>
    <t>MDF 16</t>
  </si>
  <si>
    <t>obkladová MDF deska tl. 15 mm - podrobná specifikace výrobku viz část PD D.2 - INTERIÉROVÉ ŘEŠENÍ</t>
  </si>
  <si>
    <t>1333713335</t>
  </si>
  <si>
    <t>68</t>
  </si>
  <si>
    <t>766622115</t>
  </si>
  <si>
    <t>Montáž oken plastových včetně montáže rámu plochy přes 1 m2 pevných do zdiva, výšky do 1,5 m</t>
  </si>
  <si>
    <t>2033795020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</si>
  <si>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</si>
  <si>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Poznámka k položce:
POLOŽKA KALKULOVÁNA VČETNĚ MONTÁŽE PŘÍSLUŠENSTVÍ UCELENÉ DODÁVKY OKEN (t.j. včetně kování, INT. a EXT. parapetů apod.)</t>
  </si>
  <si>
    <t>viz Tabulka oken</t>
  </si>
  <si>
    <t>(18+19)*(0,9*1,5)+1*(2,4*0,75)</t>
  </si>
  <si>
    <t>69</t>
  </si>
  <si>
    <t>611-O1</t>
  </si>
  <si>
    <t>okenní křídlo plastové rozm. 900x1500 mm (L) v oboustranné bílé barvě s izolačním dvojsklem, křídlo sklopné otvíravé, U=1.0 W/m2K, rám plastový 6-ti komorový v oboustranné bílé barvě, kování poplastované v bílé barvě, klika pro 2 polohy - otevření a sklopení, parapet : exteriér - hliníkový RŠ 270 mm x 900 mm, povrchová úprava práškovou bílou barvou, interiér - plastový parapet 900 x 280 mm, barva bělený dub</t>
  </si>
  <si>
    <t>631478326</t>
  </si>
  <si>
    <t>Poznámka k položce:
- okna budou opatřenainterié rovými žaluziemi v bílé barvě, ovládané řetízkem (oceněno samostatně)
- maximální prostup tepla celým oknem U=1.0 W/m2K
- KOMPLETNÍ DODÁVKA V ROZSAHU POPISU VÝROBKU (vč. kování, interiérovéího a exteriérového parapetu, apod.)
- PODROBNÝ POPIS VIZ TABULKA OKEN</t>
  </si>
  <si>
    <t>viz výkr. Tabulka oken</t>
  </si>
  <si>
    <t>70</t>
  </si>
  <si>
    <t>611-O2</t>
  </si>
  <si>
    <t>okenní křídlo plastové rozm. 900x1500 mm (P) v oboustranné bílé barvě s izolačním dvojsklem, křídlo sklopné otvíravé, U=1.0 W/m2K, rám plastový 6-ti komorový v oboustranné bílé barvě, kování poplastované v bílé barvě, klika pro 2 polohy - otevření a sklopení, parapet : exteriér - hliníkový RŠ 270 mm x 900 mm, povrchová úprava práškovou bílou barvou, interiér - plastový parapet 900 x 280 mm, barva bělený dub</t>
  </si>
  <si>
    <t>117835358</t>
  </si>
  <si>
    <t>71</t>
  </si>
  <si>
    <t>611-O3</t>
  </si>
  <si>
    <t>plastové okno 2-kř. rozm. 2400x750 mm v oboustranné bílé barvě s izolačním dvojsklem, křídlo sklopné otvíravé, U=1.0 W/m2K, rám plastový 6-ti komorový v oboustranné bílé barvě, kování poplastované v bílé barvě, klika pro 2 polohy - otevření a sklopení, parapet : exteriér - hliníkový RŠ 270 mm x 2400 mm, povrchová úprava práškovou bílou barvou, interiér - plastový parapet 2400 x 280 mm, barva bělený dub</t>
  </si>
  <si>
    <t>125784918</t>
  </si>
  <si>
    <t>Poznámka k položce:
- maximální prostup tepla celým oknem U=1.0 W/m2K
- KOMPLETNÍ DODÁVKA V ROZSAHU POPISU VÝROBKU (vč. kování, interiérovéího a exteriérového parapetu, apod.)
- PODROBNÝ POPIS VIZ TABULKA OKEN</t>
  </si>
  <si>
    <t>72</t>
  </si>
  <si>
    <t>766660001</t>
  </si>
  <si>
    <t>Montáž dveřních křídel dřevěných nebo plastových otevíravých do ocelové zárubně povrchově upravených jednokřídlových, šířky do 800 mm</t>
  </si>
  <si>
    <t>-2135617112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</si>
  <si>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</si>
  <si>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Poznámka k položce:
POLOŽKA KALKULOVÁNA VČETNĚ MONTÁŽE PŘÍSLUŠENSTVÍ UCELENÉ DODÁVKY DVEŘÍ (t.j. včetně kování, apod.)</t>
  </si>
  <si>
    <t>73</t>
  </si>
  <si>
    <t>611-D05-P</t>
  </si>
  <si>
    <t>dveřní křídlo z MDF desky s povrchovou úpravou v dekoru dřeva, - bělený dub, prosklené s mléčným sklem - sklo dělené třemi příčlemi (do nové oicelové zárubně), rozm. 800x1970 mm, P, kování nerez - klika/klika, dělené štítky s obyčejným zámkem, bez požární odolnosti</t>
  </si>
  <si>
    <t>1005221553</t>
  </si>
  <si>
    <t>Poznámka k položce:
- jednokřídlé otvíravé interiérové dveře, dveře do místností kanceláří a studovny
- KOMPLETNÍ DODÁVKA V ROZSAHU POPISU VÝROBKU (vč. kování, apod.)
- PODROBNÝ POPIS VIZ TABULKA DVEŘÍ</t>
  </si>
  <si>
    <t>viz výkr. Tabulka dveří</t>
  </si>
  <si>
    <t>74</t>
  </si>
  <si>
    <t>611-D05-L</t>
  </si>
  <si>
    <t>dveřní křídlo z MDF desky s povrchovou úpravou v dekoru dřeva, - bělený dub, prosklené s mléčným sklem - sklo dělené třemi příčlemi (do nové oicelové zárubně), rozm. 800x1970 mm, L, kování nerez - klika/klika, dělené štítky s obyčejným zámkem, bez požární odolnosti</t>
  </si>
  <si>
    <t>-516781791</t>
  </si>
  <si>
    <t>75</t>
  </si>
  <si>
    <t>611-D06-L</t>
  </si>
  <si>
    <t>dveřní křídlo z MDF desky s povrchovou úpravou v dekoru dřeva, - bělený dub, plné s příčným členěním (do nové oicelové zárubně), rozm. 800x1970 mm, L, kování nerez - klika/klika, dělené štítky s obyčejným zámkem, bez požární odolnosti</t>
  </si>
  <si>
    <t>1719734264</t>
  </si>
  <si>
    <t>Poznámka k položce:
- jednokřídlé otvíravé interiérové dveře, dveře do místností pokojů v patře
- KOMPLETNÍ DODÁVKA V ROZSAHU POPISU VÝROBKU (vč. kování, apod.)
- PODROBNÝ POPIS VIZ TABULKA DVEŘÍ</t>
  </si>
  <si>
    <t>76</t>
  </si>
  <si>
    <t>611-D06-P</t>
  </si>
  <si>
    <t>dveřní křídlo z MDF desky s povrchovou úpravou v dekoru dřeva, - bělený dub, plné s příčným členěním (do nové oicelové zárubně), rozm. 800x1970 mm, P, kování nerez - klika/klika, dělené štítky s obyčejným zámkem, bez požární odolnosti</t>
  </si>
  <si>
    <t>-1331049640</t>
  </si>
  <si>
    <t>77</t>
  </si>
  <si>
    <t>611-D07-P</t>
  </si>
  <si>
    <t>dveřní křídlo z MDF desky s povrchovou úpravou v dekoru dřeva, - bělený dub, plné s příčným členěním (do nové oicelové zárubně), rozm. 700x1970 mm, P, kování nerez - klika/klika, dělené štítky s obyčejným zámkem, bez požární odolnosti</t>
  </si>
  <si>
    <t>-1457085041</t>
  </si>
  <si>
    <t>Poznámka k položce:
- jednokřídlé otvíravé interiérové dveře, dveře do místností sociálního zázemí v přízemí i v patře
- KOMPLETNÍ DODÁVKA V ROZSAHU POPISU VÝROBKU (vč. kování, apod.)
- PODROBNÝ POPIS VIZ TABULKA DVEŘÍ</t>
  </si>
  <si>
    <t>78</t>
  </si>
  <si>
    <t>611-D07-L</t>
  </si>
  <si>
    <t>dveřní křídlo z MDF desky s povrchovou úpravou v dekoru dřeva, - bělený dub, plné s příčným členěním (do nové oicelové zárubně), rozm. 700x1970 mm, L, kování nerez - klika/klika, dělené štítky s obyčejným zámkem, bez požární odolnosti</t>
  </si>
  <si>
    <t>-1356769648</t>
  </si>
  <si>
    <t>79</t>
  </si>
  <si>
    <t>dveřní křídlo z MDF desky s povrchovou úpravou v dekoru dřeva, - bělený dub, plné s příčným členěním (do nové oicelové zárubně), rozm. 600x1970 mm, L, kování nerez - klika/klika, dělené štítky s obyčejným zámkem, bez požární odolnosti</t>
  </si>
  <si>
    <t>1862649656</t>
  </si>
  <si>
    <t>Poznámka k položce:
- jednokřídlé otvíravé interiérové dveře, dveře do místností WC v přízemí
- KOMPLETNÍ DODÁVKA V ROZSAHU POPISU VÝROBKU (vč. kování, apod.)
- PODROBNÝ POPIS VIZ TABULKA DVEŘÍ</t>
  </si>
  <si>
    <t>80</t>
  </si>
  <si>
    <t>dveřní křídlo z MDF desky s povrchovou úpravou v dekoru dřeva, - bělený dub, plné s příčným členěním (do nové oicelové zárubně), rozm. 600x1970 mm, P, kování nerez - klika/klika, dělené štítky s obyčejným zámkem, bez požární odolnosti</t>
  </si>
  <si>
    <t>545768328</t>
  </si>
  <si>
    <t>81</t>
  </si>
  <si>
    <t>766660002</t>
  </si>
  <si>
    <t>Montáž dveřních křídel dřevěných nebo plastových otevíravých do ocelové zárubně povrchově upravených jednokřídlových, šířky přes 800 mm</t>
  </si>
  <si>
    <t>1875380584</t>
  </si>
  <si>
    <t>83</t>
  </si>
  <si>
    <t>611-D04</t>
  </si>
  <si>
    <t>dveřní křídlo z MDF desky s povrchovou úpravou v dekoru dřeva, - bělený dub, prosklené s mléčným sklem - sklo dělené třemi příčlemi (do nové oicelové zárubně), rozm. 900x1970 mm, L, kování nerez - klika/klika, dělené štítky s obyčejným zámkem, bez požární odolnosti</t>
  </si>
  <si>
    <t>1095994838</t>
  </si>
  <si>
    <t>Poznámka k položce:
- jednokřídlé otvíravé interiérové dveře, dveře z příjmové místnosti do místnosti chodby
- KOMPLETNÍ DODÁVKA V ROZSAHU POPISU VÝROBKU (vč. kování, apod.)
- PODROBNÝ POPIS VIZ TABULKA DVEŘÍ</t>
  </si>
  <si>
    <t>84</t>
  </si>
  <si>
    <t>611-D09</t>
  </si>
  <si>
    <t>dveřní křídlo z MDF desky s povrchovou úpravou v dekoru dřeva s povrchovou úpravou s fólií bílé barvy, plné, hladke (do nové oicelové zárubně), rozm. 900x1400 mm, L, kování nerez - klika/klika, dělené štítky s obyčejným zámkem, bez požární odolnosti</t>
  </si>
  <si>
    <t>1367784554</t>
  </si>
  <si>
    <t>Poznámka k položce:
- jednokřídlé otvíravé interiérové dveře, dveře do technické místností pod schodištěm
- KOMPLETNÍ DODÁVKA V ROZSAHU POPISU VÝROBKU (vč. kování, apod.)
- PODROBNÝ POPIS VIZ TABULKA DVEŘÍ</t>
  </si>
  <si>
    <t>85</t>
  </si>
  <si>
    <t>766660011</t>
  </si>
  <si>
    <t>Montáž dveřních křídel dřevěných nebo plastových otevíravých do ocelové zárubně povrchově upravených dvoukřídlových, šířky do 1450 mm</t>
  </si>
  <si>
    <t>-2123162446</t>
  </si>
  <si>
    <t>86</t>
  </si>
  <si>
    <t>611-D02</t>
  </si>
  <si>
    <t>dveřní křídlo z MDF desky s povrchovou úpravou v bílé barvě, částečně prosklené s čirým sklem (do stávající ocelové zárubně), rozm. 1450x3000 mm, P, kování nerez - klika/klika, jednotný štítek s obyčejnýmzá mkem, bez požární odolnosti</t>
  </si>
  <si>
    <t>-550262798</t>
  </si>
  <si>
    <t>Poznámka k položce:
- dvoukřídlé otvíravé interiérové dveře, umístěné v hlavní chodbě v přízemí, dveře mají prosklený nadsvětlík
- KOMPLETNÍ DODÁVKA V ROZSAHU POPISU VÝROBKU (vč. kování, apod.)
- PODROBNÝ POPIS VIZ TABULKA DVEŘÍ</t>
  </si>
  <si>
    <t>87</t>
  </si>
  <si>
    <t>766660451</t>
  </si>
  <si>
    <t>Montáž dveřních křídel dřevěných nebo plastových vchodových dveří včetně rámu do zdiva dvoukřídlových bez nadsvětlíku</t>
  </si>
  <si>
    <t>-1032167684</t>
  </si>
  <si>
    <t>88</t>
  </si>
  <si>
    <t>611-D10</t>
  </si>
  <si>
    <t>exteriérové plastové dveře v bílé dveře, částečně prosklené čirým tepelně izolačním dvojsklem do stávající ocelové zárubně, rozm. 1450x2510 mm, L, kování nerez - klika/koule, jednotný štítek s beuzpečnostním zámkem, bez požární odolnosti</t>
  </si>
  <si>
    <t>-1262424331</t>
  </si>
  <si>
    <t>Poznámka k položce:
- dvoukřídlé otvíravé exteriérové dveře, dveře do místnosti dílny
- PODROBNÝ POPIS VIZ TABULKA DVEŘÍ
- KOMPLETNÍ DODÁVKA V ROZSAHU POPISU VÝROBKU (vč. kování, apod.)</t>
  </si>
  <si>
    <t>89</t>
  </si>
  <si>
    <t>611-D11</t>
  </si>
  <si>
    <t>exteriérové plastové dveře v bílé dveře, plné, hladké, do stávající ocelové zárubně, rozm. 1360x1970 mm, P, kování nerez - klika/koule, jednotný štítek s beuzpečnostním zámkem, bez požární odolnosti</t>
  </si>
  <si>
    <t>-1586292215</t>
  </si>
  <si>
    <t>90</t>
  </si>
  <si>
    <t>exteriérové plastové dveře v bílé dveře, plné, hladké, do stávající ocelové zárubně, rozm. 2320x2510 mm, P, kování nerez - klika/koule, jednotný štítek s beuzpečnostním zámkem, bez požární odolnosti</t>
  </si>
  <si>
    <t>-1166547289</t>
  </si>
  <si>
    <t>Poznámka k položce:
- dvoukřídlé otvíravé exteriérové dveře, dveře do místnosti dílny se skladem
- PODROBNÝ POPIS VIZ TABULKA DVEŘÍ
- KOMPLETNÍ DODÁVKA V ROZSAHU POPISU VÝROBKU (vč. kování, apod.)</t>
  </si>
  <si>
    <t>91</t>
  </si>
  <si>
    <t>766660461</t>
  </si>
  <si>
    <t>Montáž dveřních křídel dřevěných nebo plastových vchodových dveří včetně rámu do zdiva dvoukřídlových s nadsvětlíkem</t>
  </si>
  <si>
    <t>99717463</t>
  </si>
  <si>
    <t>92</t>
  </si>
  <si>
    <t>611-D01</t>
  </si>
  <si>
    <t>exteriérové plastové dveře v bílé barvě, částečně prosklené čirým tepelně izolačním dvojsklem (do stávající ocelové zárubně), rozm. 1160x1970 mm, L, kování nerez - klika/koule, jednotný štítek s bezpečnostním zámkem, bez požární odolnosti</t>
  </si>
  <si>
    <t>-1005102282</t>
  </si>
  <si>
    <t>Poznámka k položce:
- dvoukřídlé otvíravé exteriérové dveře s proskleným nadsvětlíkem, hlavní vstupní dveře
- PODROBNÝ POPIS VIZ TABULKA DVEŘÍ
- KOMPLETNÍ DODÁVKA V ROZSAHU POPISU VÝROBKU (vč. kování, apod.)</t>
  </si>
  <si>
    <t>93</t>
  </si>
  <si>
    <t>998766201</t>
  </si>
  <si>
    <t>Přesun hmot pro konstrukce truhlářské stanovený procentní sazbou (%) z ceny vodorovná dopravní vzdálenost do 50 m v objektech výšky do 6 m</t>
  </si>
  <si>
    <t>843008086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</si>
  <si>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</si>
  <si>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94</t>
  </si>
  <si>
    <t>998766292</t>
  </si>
  <si>
    <t>Přesun hmot pro konstrukce truhlářské stanovený procentní sazbou (%) z ceny Příplatek k cenám za zvětšený přesun přes vymezenou největší dopravní vzdálenost do 100 m</t>
  </si>
  <si>
    <t>-1469957862</t>
  </si>
  <si>
    <t>767</t>
  </si>
  <si>
    <t>Konstrukce zámečnické</t>
  </si>
  <si>
    <t>95</t>
  </si>
  <si>
    <t>767691823</t>
  </si>
  <si>
    <t>Ostatní práce - vyvěšení nebo zavěšení kovových křídel s případným uložením a opětovným zavěšením po provedení stavebních změn dveří, plochy přes 2 m2</t>
  </si>
  <si>
    <t>-854513231</t>
  </si>
  <si>
    <t>1.NP - exteriérové SV</t>
  </si>
  <si>
    <t>"na poz. D01 - ponechat zárubeň" 2*1</t>
  </si>
  <si>
    <t>"na poz. D10 - ponechat zárubeň" 2*1</t>
  </si>
  <si>
    <t>1.NP - interiérové SV</t>
  </si>
  <si>
    <t>"na poz. D02 - ponechat zárubeň" 2*1</t>
  </si>
  <si>
    <t>96</t>
  </si>
  <si>
    <t>998767201</t>
  </si>
  <si>
    <t>Přesun hmot pro zámečnické konstrukce stanovený procentní sazbou (%) z ceny vodorovná dopravní vzdálenost do 50 m v objektech výšky do 6 m</t>
  </si>
  <si>
    <t>-342041820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</si>
  <si>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</si>
  <si>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97</t>
  </si>
  <si>
    <t>998767292</t>
  </si>
  <si>
    <t>Přesun hmot pro zámečnické konstrukce stanovený procentní sazbou (%) z ceny Příplatek k cenám za zvětšený přesun přes vymezenou největší dopravní vzdálenost do 100 m</t>
  </si>
  <si>
    <t>1379846955</t>
  </si>
  <si>
    <t>771</t>
  </si>
  <si>
    <t>Podlahy z dlaždic</t>
  </si>
  <si>
    <t>98</t>
  </si>
  <si>
    <t>771111011</t>
  </si>
  <si>
    <t>Příprava podkladu před provedením dlažby vysátí podlah</t>
  </si>
  <si>
    <t>843232498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</si>
  <si>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</si>
  <si>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100</t>
  </si>
  <si>
    <t>771121011</t>
  </si>
  <si>
    <t>Příprava podkladu před provedením dlažby nátěr penetrační na podlahu</t>
  </si>
  <si>
    <t>738517230</t>
  </si>
  <si>
    <t>103</t>
  </si>
  <si>
    <t>771474111</t>
  </si>
  <si>
    <t>Montáž soklů z dlaždic keramických lepených flexibilním lepidlem rovných, výšky do 65 mm</t>
  </si>
  <si>
    <t>684204564</t>
  </si>
  <si>
    <t>105</t>
  </si>
  <si>
    <t>771574173</t>
  </si>
  <si>
    <t>Montáž podlah z dlaždic keramických lepených flexibilním lepidlem velkoformátových reliéfních nebo z dekorů přes 2 do 4 ks/m2</t>
  </si>
  <si>
    <t>-903521495</t>
  </si>
  <si>
    <t xml:space="preserve">Poznámka k souboru cen:
1. Položky jsou učeny pro všechy druhy povrchových úprav.
</t>
  </si>
  <si>
    <t>106</t>
  </si>
  <si>
    <t>5976144-A</t>
  </si>
  <si>
    <t>dlažba velkoformátová keramická slinutá hladká do interiéru i exteriéru pro vysoké mechanické namáhání přes 2 do 4ks/m2 - TYP A</t>
  </si>
  <si>
    <t>1371697690</t>
  </si>
  <si>
    <t>Poznámka k položce:
PŘESNÁ SPECIFIKACE VÝROBKU (DLAŽBA - TYP A) - VIZ ČÁSTi PD - D.2. INTERIÉROVÉ ŘEŠENÍ</t>
  </si>
  <si>
    <t>108</t>
  </si>
  <si>
    <t>771577111</t>
  </si>
  <si>
    <t>Montáž podlah z dlaždic keramických lepených flexibilním lepidlem Příplatek k cenám za plochu do 5 m2 jednotlivě</t>
  </si>
  <si>
    <t>1047089357</t>
  </si>
  <si>
    <t>109</t>
  </si>
  <si>
    <t>771577114</t>
  </si>
  <si>
    <t>Montáž podlah z dlaždic keramických lepených flexibilním lepidlem Příplatek k cenám za dvousložkový spárovací tmel</t>
  </si>
  <si>
    <t>1432279448</t>
  </si>
  <si>
    <t>110</t>
  </si>
  <si>
    <t>771591112</t>
  </si>
  <si>
    <t>Izolace podlahy pod dlažbu nátěrem nebo stěrkou ve dvou vrstvách</t>
  </si>
  <si>
    <t>1828804531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</si>
  <si>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</si>
  <si>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111</t>
  </si>
  <si>
    <t>771591241</t>
  </si>
  <si>
    <t>Izolace podlahy pod dlažbu těsnícími izolačními pásy vnitřní kout</t>
  </si>
  <si>
    <t>-187493350</t>
  </si>
  <si>
    <t>113</t>
  </si>
  <si>
    <t>771591264</t>
  </si>
  <si>
    <t>Izolace podlahy pod dlažbu těsnícími izolačními pásy mezi podlahou a stěnu</t>
  </si>
  <si>
    <t>836232902</t>
  </si>
  <si>
    <t>114</t>
  </si>
  <si>
    <t>998771201</t>
  </si>
  <si>
    <t>Přesun hmot pro podlahy z dlaždic stanovený procentní sazbou (%) z ceny vodorovná dopravní vzdálenost do 50 m v objektech výšky do 6 m</t>
  </si>
  <si>
    <t>-970331079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</si>
  <si>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</si>
  <si>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115</t>
  </si>
  <si>
    <t>998771292</t>
  </si>
  <si>
    <t>Přesun hmot pro podlahy z dlaždic stanovený procentní sazbou (%) z ceny Příplatek k cenám za zvětšený přesun přes vymezenou největší dopravní vzdálenost do 100 m</t>
  </si>
  <si>
    <t>1923038932</t>
  </si>
  <si>
    <t>116</t>
  </si>
  <si>
    <t>775541161</t>
  </si>
  <si>
    <t>-992681161</t>
  </si>
  <si>
    <t>Poznámka k položce:
SKLADBA S1 (NOVÝ STAV) - SKLADBA PODLAHY</t>
  </si>
  <si>
    <t>117</t>
  </si>
  <si>
    <t>2841106R</t>
  </si>
  <si>
    <t>1484893899</t>
  </si>
  <si>
    <t>Poznámka k položce:
PŘESNÁ SPECIFIKACE VÝROBKU - VIZ ČÁST PD D.2. INTERIÉROVÉ ŘEŠENÍ</t>
  </si>
  <si>
    <t>120</t>
  </si>
  <si>
    <t>775413401</t>
  </si>
  <si>
    <t>Montáž lišty obvodové lepené</t>
  </si>
  <si>
    <t>1975626843</t>
  </si>
  <si>
    <t xml:space="preserve">Poznámka k souboru cen:
1. V cenách 775 41- . . nejsou započteny náklady na dodání lišt, tyto se oceňují ve specifikaci; ztratné lze dohodnout v přiměřené výši.
</t>
  </si>
  <si>
    <t>121</t>
  </si>
  <si>
    <t>2841100R</t>
  </si>
  <si>
    <t>lišta soklová PVC v. 40 mm, povrch : fólie s dekorem běleného dubu</t>
  </si>
  <si>
    <t>1702987835</t>
  </si>
  <si>
    <t>122</t>
  </si>
  <si>
    <t>775429121</t>
  </si>
  <si>
    <t>Montáž lišty přechodové (vyrovnávací) připevněné vruty</t>
  </si>
  <si>
    <t>-1215505501</t>
  </si>
  <si>
    <t xml:space="preserve">Poznámka k souboru cen:
1. V ceně 775 42-9 . nejsou započteny náklady na dodání lišt, montážních spon nebo montážních základních profilů. Tyto náklady se oceňují ve specifikaci; ztratné lze dohodnout v přiměřené výši.
</t>
  </si>
  <si>
    <t>123</t>
  </si>
  <si>
    <t>5534311R</t>
  </si>
  <si>
    <t>profil přechodový Al</t>
  </si>
  <si>
    <t>-1631797190</t>
  </si>
  <si>
    <t>124</t>
  </si>
  <si>
    <t>998775201</t>
  </si>
  <si>
    <t>-225213488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</si>
  <si>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</si>
  <si>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125</t>
  </si>
  <si>
    <t>998775292</t>
  </si>
  <si>
    <t>1996538320</t>
  </si>
  <si>
    <t>776</t>
  </si>
  <si>
    <t>Podlahy povlakové</t>
  </si>
  <si>
    <t>126</t>
  </si>
  <si>
    <t>776201811</t>
  </si>
  <si>
    <t>Demontáž povlakových podlahovin lepených ručně bez podložky</t>
  </si>
  <si>
    <t>-215420042</t>
  </si>
  <si>
    <t>Poznámka k položce:
POLOŽKA KALKULOVÁNA VČETNĚ OBVODOVÝCH SOKLÍKŮ !!!</t>
  </si>
  <si>
    <t>21,33+15,46+30,15+2,6+10,7+10,29+15,99</t>
  </si>
  <si>
    <t>16,53+22,27+17,51+9,36+30,05+16,66+22,58+17,37+20,88</t>
  </si>
  <si>
    <t>777</t>
  </si>
  <si>
    <t>Podlahy lité</t>
  </si>
  <si>
    <t>127</t>
  </si>
  <si>
    <t>777111111</t>
  </si>
  <si>
    <t>Příprava podkladu před provedením litých podlah vysátí</t>
  </si>
  <si>
    <t>1468044652</t>
  </si>
  <si>
    <t>128</t>
  </si>
  <si>
    <t>777121115</t>
  </si>
  <si>
    <t>Vyrovnání podkladu epoxidovou stěrkou plněnou pískem, tloušťky přes 3 do 5 mm, plochy přes 1,0 m2</t>
  </si>
  <si>
    <t>-702600976</t>
  </si>
  <si>
    <t>129</t>
  </si>
  <si>
    <t>777131111</t>
  </si>
  <si>
    <t>Penetrační nátěr podlahy epoxidový předem plněný pískem</t>
  </si>
  <si>
    <t>-2125351955</t>
  </si>
  <si>
    <t>38,13+16,55*0,06</t>
  </si>
  <si>
    <t>130</t>
  </si>
  <si>
    <t>777511105</t>
  </si>
  <si>
    <t>Krycí stěrka dekorativní epoxidová, tloušťky přes 2 do 3 mm</t>
  </si>
  <si>
    <t>-1209054381</t>
  </si>
  <si>
    <t>131</t>
  </si>
  <si>
    <t>777611101</t>
  </si>
  <si>
    <t>Krycí nátěr podlahy dekorativní epoxidový</t>
  </si>
  <si>
    <t>1792853843</t>
  </si>
  <si>
    <t xml:space="preserve">Poznámka k souboru cen:
1. V ceně -1133 a -1134 nejsou započteny náklady na napojení na zemnící okruh.
2. V ceně -1135 a -1137 nejsou započteny náklady na změření odporu.
</t>
  </si>
  <si>
    <t>132</t>
  </si>
  <si>
    <t>777612109</t>
  </si>
  <si>
    <t>Uzavírací nátěr podlahy epoxidový protiskluzný</t>
  </si>
  <si>
    <t>1955690573</t>
  </si>
  <si>
    <t>133</t>
  </si>
  <si>
    <t>998777201</t>
  </si>
  <si>
    <t>Přesun hmot pro podlahy lité stanovený procentní sazbou (%) z ceny vodorovná dopravní vzdálenost do 50 m v objektech výšky do 6 m</t>
  </si>
  <si>
    <t>-1119033114</t>
  </si>
  <si>
    <t>134</t>
  </si>
  <si>
    <t>998777292</t>
  </si>
  <si>
    <t>Přesun hmot pro podlahy lité stanovený procentní sazbou (%) z ceny Příplatek k cenám za zvětšený přesun přes vymezenou největší dopravní vzdálenost do 100 m</t>
  </si>
  <si>
    <t>-1272209966</t>
  </si>
  <si>
    <t>781</t>
  </si>
  <si>
    <t>Dokončovací práce - obklady</t>
  </si>
  <si>
    <t>135</t>
  </si>
  <si>
    <t>781111011</t>
  </si>
  <si>
    <t>Příprava podkladu před provedením obkladu oprášení (ometení) stěny</t>
  </si>
  <si>
    <t>-56374503</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</si>
  <si>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</si>
  <si>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136</t>
  </si>
  <si>
    <t>781121011</t>
  </si>
  <si>
    <t>Příprava podkladu před provedením obkladu nátěr penetrační na stěnu</t>
  </si>
  <si>
    <t>2076342077</t>
  </si>
  <si>
    <t>137</t>
  </si>
  <si>
    <t>781131112</t>
  </si>
  <si>
    <t>Izolace stěny pod obklad izolace nátěrem nebo stěrkou ve dvou vrstvách</t>
  </si>
  <si>
    <t>572413422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</si>
  <si>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</si>
  <si>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138</t>
  </si>
  <si>
    <t>781474163</t>
  </si>
  <si>
    <t>Montáž obkladů vnitřních stěn z dlaždic keramických lepených flexibilním lepidlem velkoformátových reliéfních nebo z dekorů přes 2 do 4 ks/m2</t>
  </si>
  <si>
    <t>724065664</t>
  </si>
  <si>
    <t xml:space="preserve">Poznámka k souboru cen:
1. Položky jsou určeny pro všechny druhy povrchových úprav.
</t>
  </si>
  <si>
    <t>OBKLAD - TYP A (60x60x2 cm)</t>
  </si>
  <si>
    <t>139</t>
  </si>
  <si>
    <t>-34058773</t>
  </si>
  <si>
    <t>140</t>
  </si>
  <si>
    <t>781474164</t>
  </si>
  <si>
    <t>Montáž obkladů vnitřních stěn z dlaždic keramických lepených flexibilním lepidlem velkoformátových reliéfních nebo z dekorů přes 4 do 6 ks/m2</t>
  </si>
  <si>
    <t>-99851355</t>
  </si>
  <si>
    <t>142</t>
  </si>
  <si>
    <t>781477111</t>
  </si>
  <si>
    <t>Montáž obkladů vnitřních stěn z dlaždic keramických Příplatek k cenám za plochu do 10 m2 jednotlivě</t>
  </si>
  <si>
    <t>-1718366364</t>
  </si>
  <si>
    <t>143</t>
  </si>
  <si>
    <t>781477115</t>
  </si>
  <si>
    <t>Montáž obkladů vnitřních stěn z dlaždic keramických Příplatek k cenám za dvousložkové lepidlo</t>
  </si>
  <si>
    <t>-91273737</t>
  </si>
  <si>
    <t>144</t>
  </si>
  <si>
    <t>781494111</t>
  </si>
  <si>
    <t>Obklad - dokončující práce profily ukončovací lepené flexibilním lepidlem rohové</t>
  </si>
  <si>
    <t>1858970542</t>
  </si>
  <si>
    <t xml:space="preserve">Poznámka k souboru cen:
1. Množství měrných jednotek u ceny -5185 se stanoví podle počtu řezaných obkladaček, nezávisle na jejich velikosti.
2. Položku -5185 lze použít při nuceném použití jiného nástroje než řezačky.
</t>
  </si>
  <si>
    <t>145</t>
  </si>
  <si>
    <t>781494511</t>
  </si>
  <si>
    <t>Obklad - dokončující práce profily ukončovací lepené flexibilním lepidlem ukončovací</t>
  </si>
  <si>
    <t>-1901386537</t>
  </si>
  <si>
    <t>146</t>
  </si>
  <si>
    <t>781495141</t>
  </si>
  <si>
    <t>Obklad - dokončující práce průnik obkladem kruhový, bez izolace do DN 30</t>
  </si>
  <si>
    <t>868169512</t>
  </si>
  <si>
    <t>147</t>
  </si>
  <si>
    <t>781495142</t>
  </si>
  <si>
    <t>Obklad - dokončující práce průnik obkladem kruhový, bez izolace přes DN 30 do DN 90</t>
  </si>
  <si>
    <t>-854211338</t>
  </si>
  <si>
    <t>148</t>
  </si>
  <si>
    <t>781495143</t>
  </si>
  <si>
    <t>Obklad - dokončující práce průnik obkladem kruhový, bez izolace přes DN 90</t>
  </si>
  <si>
    <t>-297326469</t>
  </si>
  <si>
    <t>150</t>
  </si>
  <si>
    <t>998781201</t>
  </si>
  <si>
    <t>Přesun hmot pro obklady keramické stanovený procentní sazbou (%) z ceny vodorovná dopravní vzdálenost do 50 m v objektech výšky do 6 m</t>
  </si>
  <si>
    <t>-237025991</t>
  </si>
  <si>
    <t>151</t>
  </si>
  <si>
    <t>998781292</t>
  </si>
  <si>
    <t>Přesun hmot pro obklady keramické stanovený procentní sazbou (%) z ceny Příplatek k cenám za zvětšený přesun přes vymezenou největší dopravní vzdálenost do 100 m</t>
  </si>
  <si>
    <t>-1762189540</t>
  </si>
  <si>
    <t>783</t>
  </si>
  <si>
    <t>Dokončovací práce - nátěry</t>
  </si>
  <si>
    <t>152</t>
  </si>
  <si>
    <t>783301401</t>
  </si>
  <si>
    <t>Příprava podkladu zámečnických konstrukcí před provedením nátěru ometení</t>
  </si>
  <si>
    <t>-1483681931</t>
  </si>
  <si>
    <t>153</t>
  </si>
  <si>
    <t>783301311</t>
  </si>
  <si>
    <t>Příprava podkladu zámečnických konstrukcí před provedením nátěru odmaštění odmašťovačem vodou ředitelným</t>
  </si>
  <si>
    <t>1046917204</t>
  </si>
  <si>
    <t>154</t>
  </si>
  <si>
    <t>783314201</t>
  </si>
  <si>
    <t>Základní antikorozní nátěr zámečnických konstrukcí jednonásobný syntetický standardní</t>
  </si>
  <si>
    <t>-1862303566</t>
  </si>
  <si>
    <t>155</t>
  </si>
  <si>
    <t>783-R1-60</t>
  </si>
  <si>
    <t>Očištění a nátěr nových zárubní rozm. 60/197 cm</t>
  </si>
  <si>
    <t>-490757131</t>
  </si>
  <si>
    <t>viz Tabulka dveří</t>
  </si>
  <si>
    <t>156</t>
  </si>
  <si>
    <t>783-R1-70</t>
  </si>
  <si>
    <t>Očištění a nátěr nových zárubní rozm. 70/197 cm</t>
  </si>
  <si>
    <t>-2032782766</t>
  </si>
  <si>
    <t>157</t>
  </si>
  <si>
    <t>783-R1-80</t>
  </si>
  <si>
    <t>Očištění a nátěr nových zárubní rozm. 80/197 cm</t>
  </si>
  <si>
    <t>-746012558</t>
  </si>
  <si>
    <t>158</t>
  </si>
  <si>
    <t>783-R1-90</t>
  </si>
  <si>
    <t>Očištění a nátěr nových zárubní rozm. 90/197 cm</t>
  </si>
  <si>
    <t>-647354315</t>
  </si>
  <si>
    <t>159</t>
  </si>
  <si>
    <t>1587009671</t>
  </si>
  <si>
    <t>160</t>
  </si>
  <si>
    <t>783-R2-D13</t>
  </si>
  <si>
    <t>Stávajjící kovová mříž, rozm. 1450 x 3000 mm, bude obroušen stávající nátěr, mříž bude natřena novou základovou barvou a následně krycí barvou v barvě antracit - dodávka a montáž</t>
  </si>
  <si>
    <t>-1886528159</t>
  </si>
  <si>
    <t>Poznámka k položce:
PODROBNÝ POPIS MŘÍŽE A NAVRHOVANÝCH PRACÍ - VIZ TABULKA DVEŘÍ</t>
  </si>
  <si>
    <t>784</t>
  </si>
  <si>
    <t>Dokončovací práce - malby a tapety</t>
  </si>
  <si>
    <t>161</t>
  </si>
  <si>
    <t>784171101</t>
  </si>
  <si>
    <t>Zakrytí nemalovaných ploch (materiál ve specifikaci) včetně pozdějšího odkrytí podlah</t>
  </si>
  <si>
    <t>644380717</t>
  </si>
  <si>
    <t xml:space="preserve">Poznámka k souboru cen:
1. V cenách nejsou započteny náklady na dodávku fólie, tyto se oceňují ve speifikaci.Ztratné lze stanovit ve výši 5%.
</t>
  </si>
  <si>
    <t>162</t>
  </si>
  <si>
    <t>58124844</t>
  </si>
  <si>
    <t>fólie pro malířské potřeby zakrývací tl 25µ 4x5m</t>
  </si>
  <si>
    <t>-255626560</t>
  </si>
  <si>
    <t>163</t>
  </si>
  <si>
    <t>784171111</t>
  </si>
  <si>
    <t>Zakrytí nemalovaných ploch (materiál ve specifikaci) včetně pozdějšího odkrytí svislých ploch např. stěn, oken, dveří v místnostech výšky do 3,80</t>
  </si>
  <si>
    <t>-55691107</t>
  </si>
  <si>
    <t>164</t>
  </si>
  <si>
    <t>-1424907734</t>
  </si>
  <si>
    <t>66,177*1,05 'Přepočtené koeficientem množství</t>
  </si>
  <si>
    <t>165</t>
  </si>
  <si>
    <t>784111001</t>
  </si>
  <si>
    <t>Oprášení (ometení) podkladu v místnostech výšky do 3,80 m</t>
  </si>
  <si>
    <t>-433019355</t>
  </si>
  <si>
    <t>166</t>
  </si>
  <si>
    <t>784181121</t>
  </si>
  <si>
    <t>Penetrace podkladu jednonásobná hloubková v místnostech výšky do 3,80 m</t>
  </si>
  <si>
    <t>-1151892264</t>
  </si>
  <si>
    <t>167</t>
  </si>
  <si>
    <t>784211101</t>
  </si>
  <si>
    <t>Malby z malířských směsí otěruvzdorných za mokra dvojnásobné, bílé za mokra otěruvzdorné výborně v místnostech výšky do 3,80 m</t>
  </si>
  <si>
    <t>1837937966</t>
  </si>
  <si>
    <t>168</t>
  </si>
  <si>
    <t>784191001</t>
  </si>
  <si>
    <t>Čištění vnitřních ploch hrubý úklid po provedení malířských prací omytím oken nebo balkonových dveří jednoduchých</t>
  </si>
  <si>
    <t>941368006</t>
  </si>
  <si>
    <t>169</t>
  </si>
  <si>
    <t>784191005</t>
  </si>
  <si>
    <t>Čištění vnitřních ploch hrubý úklid po provedení malířských prací omytím dveří nebo vrat</t>
  </si>
  <si>
    <t>-577267802</t>
  </si>
  <si>
    <t>170</t>
  </si>
  <si>
    <t>784191007</t>
  </si>
  <si>
    <t>Čištění vnitřních ploch hrubý úklid po provedení malířských prací omytím podlah</t>
  </si>
  <si>
    <t>-976032315</t>
  </si>
  <si>
    <t>786</t>
  </si>
  <si>
    <t>Dokončovací práce - čalounické úpravy</t>
  </si>
  <si>
    <t>171</t>
  </si>
  <si>
    <t>786-R1</t>
  </si>
  <si>
    <t>INTERIÉROVÉ ŽALUZIE pro rozm. oken 900x1500 mm (POZ O1 a O2), v bílé barvě, ovládané řetízkem, DODÁVKA A MONTÁŽ</t>
  </si>
  <si>
    <t>548083260</t>
  </si>
  <si>
    <t>viz Tabulkas okern</t>
  </si>
  <si>
    <t>"O1" 18</t>
  </si>
  <si>
    <t>"O2" 19</t>
  </si>
  <si>
    <t>172</t>
  </si>
  <si>
    <t>998786201</t>
  </si>
  <si>
    <t>Přesun hmot pro čalounické úpravy stanovený procentní sazbou (%) z ceny vodorovná dopravní vzdálenost do 50 m v objektech výšky do 6 m</t>
  </si>
  <si>
    <t>-234992808</t>
  </si>
  <si>
    <t>173</t>
  </si>
  <si>
    <t>998786292</t>
  </si>
  <si>
    <t>Přesun hmot pro čalounické úpravy stanovený procentní sazbou (%) z ceny Příplatek k cenám za zvětšený přesun přes vymezenou největší dopravní vzdálenost do 100 m</t>
  </si>
  <si>
    <t>-84956495</t>
  </si>
  <si>
    <t>02 - Zdravotechnika</t>
  </si>
  <si>
    <t xml:space="preserve">    4 - Vodorovné konstrukce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</si>
  <si>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</si>
  <si>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</si>
  <si>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</si>
  <si>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</si>
  <si>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HZS - Hodinové zúčtovací sazby</t>
  </si>
  <si>
    <t>VRN - Vedlejší rozpočtové náklady</t>
  </si>
  <si>
    <t xml:space="preserve">    VRN5 - Finanční náklady</t>
  </si>
  <si>
    <t>310235241</t>
  </si>
  <si>
    <t>Zazdívka otvorů ve zdivu nadzákladovém cihlami pálenými plochy do 0,0225 m2, ve zdi tl. do 300 mm</t>
  </si>
  <si>
    <t>1787946167</t>
  </si>
  <si>
    <t>310235251</t>
  </si>
  <si>
    <t>Zazdívka otvorů ve zdivu nadzákladovém cihlami pálenými plochy do 0,0225 m2, ve zdi tl. přes 300 do 450 mm</t>
  </si>
  <si>
    <t>1017793733</t>
  </si>
  <si>
    <t>533164749</t>
  </si>
  <si>
    <t>(4+2)*2*1,5</t>
  </si>
  <si>
    <t>346272216</t>
  </si>
  <si>
    <t>Přizdívky z pórobetonových tvárnic objemová hmotnost do 500 kg/m3, na tenké maltové lože, tloušťka přizdívky 50 mm</t>
  </si>
  <si>
    <t>740941443</t>
  </si>
  <si>
    <t>Poznámka k položce:
PŘEDSTĚNOVÉ SYSTÉMY</t>
  </si>
  <si>
    <t>viz část PD - D.2 - INTERIÉROVÉ ŘEŠENÍ</t>
  </si>
  <si>
    <t>"1.NP" 4*1,5</t>
  </si>
  <si>
    <t>"2.NP" 2*1,5</t>
  </si>
  <si>
    <t>Vodorovné konstrukce</t>
  </si>
  <si>
    <t>411388621</t>
  </si>
  <si>
    <t>Zabetonování otvorů ve stropech nebo v klenbách včetně lešení, bednění, odbednění a výztuže (materiál v ceně) ze suchých směsí, tl. do 150 mm ve stropech železobetonových, tvárnicových a prefabrikovaných plochy do 0,25 m2</t>
  </si>
  <si>
    <t>1277059927</t>
  </si>
  <si>
    <t>viz výkr. Půdorys rozvodů vodovod + kanalizace</t>
  </si>
  <si>
    <t>4+2</t>
  </si>
  <si>
    <t>612135101</t>
  </si>
  <si>
    <t>Hrubá výplň rýh maltou jakékoli šířky rýhy ve stěnách</t>
  </si>
  <si>
    <t>867751474</t>
  </si>
  <si>
    <t xml:space="preserve">Poznámka k souboru cen:
1. V cenách nejsou započteny náklady na omítku rýh, tyto se ocení příšlušnými cenami tohoto katalogu.
</t>
  </si>
  <si>
    <t>612325111</t>
  </si>
  <si>
    <t>Vápenocementová omítka rýh hladká ve stěnách, šířky rýhy do 150 mm</t>
  </si>
  <si>
    <t>553554521</t>
  </si>
  <si>
    <t>631311234</t>
  </si>
  <si>
    <t>Mazanina z betonu prostého se zvýšenými nároky na prostředí tl. přes 120 do 240 mm tř. C 25/30</t>
  </si>
  <si>
    <t>758826408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</si>
  <si>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</si>
  <si>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631319013</t>
  </si>
  <si>
    <t>Příplatek k cenám mazanin za úpravu povrchu mazaniny přehlazením, mazanina tl. přes 120 do 240 mm</t>
  </si>
  <si>
    <t>-1809589550</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</si>
  <si>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</si>
  <si>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631319197</t>
  </si>
  <si>
    <t>Příplatek k cenám mazanin za malou plochu do 5 m2 jednotlivě mazanina tl. přes 120 do 240 mm</t>
  </si>
  <si>
    <t>-2142673039</t>
  </si>
  <si>
    <t>631319206</t>
  </si>
  <si>
    <t>Příplatek k cenám betonových mazanin za vyztužení ocelovými vlákny (drátkobeton) objemové vyztužení 40 kg/m3</t>
  </si>
  <si>
    <t>1940221749</t>
  </si>
  <si>
    <t>965043421</t>
  </si>
  <si>
    <t>Bourání mazanin betonových s potěrem nebo teracem tl. do 150 mm, plochy do 1 m2</t>
  </si>
  <si>
    <t>266593201</t>
  </si>
  <si>
    <t>viz výkr. Půdorys 1.NP - kanalizace</t>
  </si>
  <si>
    <t>"pro napojení ležaté kanalizace DN 100" 2*0,5*0,15</t>
  </si>
  <si>
    <t>965043431</t>
  </si>
  <si>
    <t>Bourání mazanin betonových s potěrem nebo teracem tl. do 150 mm, plochy do 4 m2</t>
  </si>
  <si>
    <t>-440393444</t>
  </si>
  <si>
    <t>965049112</t>
  </si>
  <si>
    <t>Bourání mazanin Příplatek k cenám za bourání mazanin betonových se svařovanou sítí, tl. přes 100 mm</t>
  </si>
  <si>
    <t>860321587</t>
  </si>
  <si>
    <t>971033231</t>
  </si>
  <si>
    <t>Vybourání otvorů ve zdivu základovém nebo nadzákladovém z cihel, tvárnic, příčkovek z cihel pálených na maltu vápennou nebo vápenocementovou plochy do 0,0225 m2, tl. do 150 mm</t>
  </si>
  <si>
    <t>1667037479</t>
  </si>
  <si>
    <t>971033251</t>
  </si>
  <si>
    <t>Vybourání otvorů ve zdivu základovém nebo nadzákladovém z cihel, tvárnic, příčkovek z cihel pálených na maltu vápennou nebo vápenocementovou plochy do 0,0225 m2, tl. do 450 mm</t>
  </si>
  <si>
    <t>-1099967129</t>
  </si>
  <si>
    <t>972054141</t>
  </si>
  <si>
    <t>Vybourání otvorů ve stropech nebo klenbách železobetonových bez odstranění podlahy a násypu, plochy do 0,0225 m2, tl. do 150 mm</t>
  </si>
  <si>
    <t>-93055450</t>
  </si>
  <si>
    <t>974031153</t>
  </si>
  <si>
    <t>Vysekání rýh ve zdivu cihelném na maltu vápennou nebo vápenocementovou do hl. 100 mm a šířky do 100 mm</t>
  </si>
  <si>
    <t>1322949264</t>
  </si>
  <si>
    <t>974031164</t>
  </si>
  <si>
    <t>Vysekání rýh ve zdivu cihelném na maltu vápennou nebo vápenocementovou do hl. 150 mm a šířky do 150 mm</t>
  </si>
  <si>
    <t>-2028132188</t>
  </si>
  <si>
    <t>viz výkr. Půdorys 1.NP a 2.NP - kanalizace</t>
  </si>
  <si>
    <t>977312113</t>
  </si>
  <si>
    <t>Řezání stávajících betonových mazanin s vyztužením hloubky přes 100 do 150 mm</t>
  </si>
  <si>
    <t>-1885522109</t>
  </si>
  <si>
    <t>2145229452</t>
  </si>
  <si>
    <t>-989227766</t>
  </si>
  <si>
    <t>339049798</t>
  </si>
  <si>
    <t>-815960289</t>
  </si>
  <si>
    <t>-1697082780</t>
  </si>
  <si>
    <t>997-R1</t>
  </si>
  <si>
    <t>Likvidace demontovaného materiálu z původních rozvodů včetně příslušenství</t>
  </si>
  <si>
    <t>soubor</t>
  </si>
  <si>
    <t>-714114331</t>
  </si>
  <si>
    <t>1724199836</t>
  </si>
  <si>
    <t>721</t>
  </si>
  <si>
    <t>Zdravotechnika - vnitřní kanalizace</t>
  </si>
  <si>
    <t>721173401</t>
  </si>
  <si>
    <t>Potrubí z trub PVC SN4 svodné (ležaté) DN 110</t>
  </si>
  <si>
    <t>737801196</t>
  </si>
  <si>
    <t xml:space="preserve">Poznámka k souboru cen:
1. Cenami -3315 až -3317 se oceňuje svislé potrubí od střešního vtoku po čisticí kus.
</t>
  </si>
  <si>
    <t>721173403</t>
  </si>
  <si>
    <t>Potrubí z trub PVC SN4 svodné (ležaté) DN 160</t>
  </si>
  <si>
    <t>819320914</t>
  </si>
  <si>
    <t>721174043</t>
  </si>
  <si>
    <t>Potrubí z trub polypropylenových připojovací DN 50</t>
  </si>
  <si>
    <t>-666190538</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</si>
  <si>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</si>
  <si>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721174045</t>
  </si>
  <si>
    <t>Potrubí z trub polypropylenových připojovací DN 110</t>
  </si>
  <si>
    <t>627262322</t>
  </si>
  <si>
    <t>721174063</t>
  </si>
  <si>
    <t>Potrubí z trub polypropylenových větrací DN 110</t>
  </si>
  <si>
    <t>1468417384</t>
  </si>
  <si>
    <t>721194105</t>
  </si>
  <si>
    <t>Vyměření přípojek na potrubí vyvedení a upevnění odpadních výpustek DN 50</t>
  </si>
  <si>
    <t>506099947</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</si>
  <si>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</si>
  <si>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</si>
  <si>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110</t>
  </si>
  <si>
    <t>483627557</t>
  </si>
  <si>
    <t>721274123</t>
  </si>
  <si>
    <t>Ventily přivzdušňovací odpadních potrubí vnitřní DN 100</t>
  </si>
  <si>
    <t>-1904603694</t>
  </si>
  <si>
    <t>"na K2" 1</t>
  </si>
  <si>
    <t>721290111</t>
  </si>
  <si>
    <t>Zkouška těsnosti kanalizace v objektech vodou do DN 125</t>
  </si>
  <si>
    <t>-497077051</t>
  </si>
  <si>
    <t>998721201</t>
  </si>
  <si>
    <t>Přesun hmot pro vnitřní kanalizace stanovený procentní sazbou (%) z ceny vodorovná dopravní vzdálenost do 50 m v objektech výšky do 6 m</t>
  </si>
  <si>
    <t>-1543765637</t>
  </si>
  <si>
    <t>998721292</t>
  </si>
  <si>
    <t>Přesun hmot pro vnitřní kanalizace stanovený procentní sazbou (%) z ceny Příplatek k cenám za zvětšený přesun přes vymezenou největší dopravní vzdálenost do 100 m</t>
  </si>
  <si>
    <t>-183451150</t>
  </si>
  <si>
    <t>722</t>
  </si>
  <si>
    <t>Zdravotechnika - vnitřní vodovod</t>
  </si>
  <si>
    <t>722174001</t>
  </si>
  <si>
    <t>Potrubí z plastových trubek z polypropylenu PPR svařovaných polyfuzně PN 16 (SDR 7,4) D 16 x 2,2</t>
  </si>
  <si>
    <t>-170653446</t>
  </si>
  <si>
    <t>viz výkr. Půdorys 1.NP a 2.NP - vodovod</t>
  </si>
  <si>
    <t>722174002</t>
  </si>
  <si>
    <t>Potrubí z plastových trubek z polypropylenu PPR svařovaných polyfuzně PN 16 (SDR 7,4) D 20 x 2,8</t>
  </si>
  <si>
    <t>-913680916</t>
  </si>
  <si>
    <t>722181251</t>
  </si>
  <si>
    <t>Ochrana potrubí termoizolačními trubicemi z pěnového polyetylenu PE přilepenými v příčných a podélných spojích, tloušťky izolace přes 20 do 25 mm, vnitřního průměru izolace DN do 22 mm</t>
  </si>
  <si>
    <t>1033824846</t>
  </si>
  <si>
    <t xml:space="preserve">Poznámka k souboru cen:
1. V cenách -1211 až -1256 jsou započteny i náklady na dodání tepelně izolačních trubic.
</t>
  </si>
  <si>
    <t>722220151</t>
  </si>
  <si>
    <t>Armatury s jedním závitem plastové (PPR) PN 20 (SDR 6) DN 16 x G 1/2"</t>
  </si>
  <si>
    <t>1170757479</t>
  </si>
  <si>
    <t xml:space="preserve">Poznámka k souboru cen:
1. Cenami -9101 až -9108 nelze oceňovat montáž nástěnek.
2. V cenách –0111 až -0122 je započteno i vyvedení a upevnění výpustek.
</t>
  </si>
  <si>
    <t>722232171</t>
  </si>
  <si>
    <t>Armatury se dvěma závity kulové kohouty PN 42 do 185 °C rohové plnoprůtokové vnější a vnitřní závit G 1/2"</t>
  </si>
  <si>
    <t>1446811159</t>
  </si>
  <si>
    <t>722240126</t>
  </si>
  <si>
    <t>270240040</t>
  </si>
  <si>
    <t>722263205</t>
  </si>
  <si>
    <t>Vodoměry pro vodu do 100°C závitové horizontální jednovtokové suchoběžné G 1/2"x 80 mm Qn 1,5</t>
  </si>
  <si>
    <t>-1953195933</t>
  </si>
  <si>
    <t xml:space="preserve">Poznámka k souboru cen:
1. Cenami nelze oceňovat montáže vodoměrů při zřizování vodovodních přípojek; tyto práce se oceňují cenami souboru cen 722 26- . 9 Oprava vodoměrů, části C 02.
</t>
  </si>
  <si>
    <t>722290226</t>
  </si>
  <si>
    <t>Zkoušky, proplach a desinfekce vodovodního potrubí zkoušky těsnosti vodovodního potrubí závitového do DN 50</t>
  </si>
  <si>
    <t>1709706836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</si>
  <si>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</si>
  <si>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</si>
  <si>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</si>
  <si>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-1418689462</t>
  </si>
  <si>
    <t>998722201</t>
  </si>
  <si>
    <t>Přesun hmot pro vnitřní vodovod stanovený procentní sazbou (%) z ceny vodorovná dopravní vzdálenost do 50 m v objektech výšky do 6 m</t>
  </si>
  <si>
    <t>-1933645215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</si>
  <si>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</si>
  <si>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998722292</t>
  </si>
  <si>
    <t>Přesun hmot pro vnitřní vodovod stanovený procentní sazbou (%) z ceny Příplatek k cenám za zvětšený přesun přes vymezenou největší dopravní vzdálenost do 100 m</t>
  </si>
  <si>
    <t>-1988389283</t>
  </si>
  <si>
    <t>725</t>
  </si>
  <si>
    <t>Zdravotechnika - zařizovací předměty</t>
  </si>
  <si>
    <t>725110811</t>
  </si>
  <si>
    <t>Demontáž klozetů splachovacích s nádrží nebo tlakovým splachovačem</t>
  </si>
  <si>
    <t>1683789264</t>
  </si>
  <si>
    <t>725210821</t>
  </si>
  <si>
    <t>Demontáž umyvadel bez výtokových armatur umyvadel</t>
  </si>
  <si>
    <t>-1778527259</t>
  </si>
  <si>
    <t>725310823</t>
  </si>
  <si>
    <t>Demontáž dřezů jednodílných bez výtokových armatur vestavěných v kuchyňských sestavách</t>
  </si>
  <si>
    <t>575009597</t>
  </si>
  <si>
    <t>"2.NP" 1</t>
  </si>
  <si>
    <t>725820801</t>
  </si>
  <si>
    <t>Demontáž baterií nástěnných do G 3/4</t>
  </si>
  <si>
    <t>-380954308</t>
  </si>
  <si>
    <t>viz předchozí výpočtxy</t>
  </si>
  <si>
    <t>725840850</t>
  </si>
  <si>
    <t>Demontáž baterií sprchových diferenciálních do G 3/4 x 1</t>
  </si>
  <si>
    <t>1425032260</t>
  </si>
  <si>
    <t>"1.NP" 1</t>
  </si>
  <si>
    <t>725860811</t>
  </si>
  <si>
    <t>Demontáž zápachových uzávěrek pro zařizovací předměty jednoduchých</t>
  </si>
  <si>
    <t>1403232781</t>
  </si>
  <si>
    <t>725590811</t>
  </si>
  <si>
    <t>Vnitrostaveništní přemístění vybouraných (demontovaných) hmot zařizovacích předmětů vodorovně do 100 m v objektech výšky do 6 m</t>
  </si>
  <si>
    <t>552204479</t>
  </si>
  <si>
    <t>725119125</t>
  </si>
  <si>
    <t>Zařízení záchodů montáž klozetových mís závěsných na nosné stěny</t>
  </si>
  <si>
    <t>851867522</t>
  </si>
  <si>
    <t xml:space="preserve">Poznámka k souboru cen:
1. V cenách -1351, -1361 není započten napájecí zdroj.
2. V cenách jsou započtená klozetová sedátka.
</t>
  </si>
  <si>
    <t>Poznámka k položce:
POLOŽKA KALKULOVÁNA VČETNĚ MONTÁŽE SEDÁTKA A PŘÍSLUŠENSTVÍ</t>
  </si>
  <si>
    <t>WC</t>
  </si>
  <si>
    <t>klozet keramický, bílý, rozm. 53x36x34 cm včetně sedátka a příslušenství - přesná specifikace viz část PD D.2 - INTERIÉROVÉ ŘEŠENÍ</t>
  </si>
  <si>
    <t>-70839603</t>
  </si>
  <si>
    <t>725219102</t>
  </si>
  <si>
    <t>Umyvadla montáž umyvadel ostatních typů na šrouby</t>
  </si>
  <si>
    <t>-733630421</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</si>
  <si>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</si>
  <si>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UM</t>
  </si>
  <si>
    <t>Umyvadlo rozm. 50x42x17 cm - přesná specifikace viz část PD D.2 - INTERIÉROVÉ ŘEŠENÍ</t>
  </si>
  <si>
    <t>-584653164</t>
  </si>
  <si>
    <t>725829131</t>
  </si>
  <si>
    <t>Baterie umyvadlové montáž ostatních typů stojánkových G 1/2"</t>
  </si>
  <si>
    <t>-1302317372</t>
  </si>
  <si>
    <t xml:space="preserve">Poznámka k souboru cen:
1. V cenách –2654, 56, -9101-9202 není započten napájecí zdroj.
</t>
  </si>
  <si>
    <t>UM-BAT</t>
  </si>
  <si>
    <t>umyvadlová baterie stojánková, chrom lesklý - přesná specifikace viz část PD D.2 - INTERIÉROVÉ ŘEŠENÍ</t>
  </si>
  <si>
    <t>1511030170</t>
  </si>
  <si>
    <t>725861102</t>
  </si>
  <si>
    <t>Zápachové uzávěrky zařizovacích předmětů pro umyvadla DN 40</t>
  </si>
  <si>
    <t>-967770513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</si>
  <si>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</si>
  <si>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</si>
  <si>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</si>
  <si>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-1516303560</t>
  </si>
  <si>
    <t>SPRCH-DV-1</t>
  </si>
  <si>
    <t>-602493486</t>
  </si>
  <si>
    <t>SPRCH-DV-2</t>
  </si>
  <si>
    <t>-1156632429</t>
  </si>
  <si>
    <t>SPRCH-K-1</t>
  </si>
  <si>
    <t>Sprchový kout rozm. 90x90x190 cm, materiál: chrom lesklý, sklo: čiré, otevírání: posuvné - DODÁVKA A MONTÁŽ, přesná specifikace výrobku viz část PD D.2 - INTERIÉROVÉ ŘEŠENÍ</t>
  </si>
  <si>
    <t>2061089061</t>
  </si>
  <si>
    <t>SPRCH-VAN-2</t>
  </si>
  <si>
    <t>Sprchová vanička rozm. 90x90x5 cm, rádius: R550k, materiál: akrylát bílý - DODÁVKA A MONTÁŽ, přesná specifikace výrobku viz část PD D.2 - INTERIÉROVÉ ŘEŠENÍ</t>
  </si>
  <si>
    <t>628059795</t>
  </si>
  <si>
    <t>725849411</t>
  </si>
  <si>
    <t>Baterie sprchové montáž nástěnných baterií s nastavitelnou výškou sprchy</t>
  </si>
  <si>
    <t>1148559150</t>
  </si>
  <si>
    <t xml:space="preserve">Poznámka k souboru cen:
1. V cenách –1353-54 není započten napájecí zdroj.
</t>
  </si>
  <si>
    <t>Poznámka k položce:
POLOŽKA KALKULOVÁNA VČETNĚ MONTÁŽE SPRCHOVÉHO SETU !!!</t>
  </si>
  <si>
    <t>SPRCH-BAT</t>
  </si>
  <si>
    <t>sprchová baterienástěnná , chrom lesklý - přesná specifikace viz část PD D.2 - INTERIÉROVÉ ŘEŠENÍ</t>
  </si>
  <si>
    <t>1558588902</t>
  </si>
  <si>
    <t>SPRCH-SET</t>
  </si>
  <si>
    <t>sprchový set, chrom lesklý - přesná specifikace viz část PD D.2 - INTERIÉROVÉ ŘEŠENÍ</t>
  </si>
  <si>
    <t>634884175</t>
  </si>
  <si>
    <t>725865311</t>
  </si>
  <si>
    <t>Zápachové uzávěrky zařizovacích předmětů pro vany sprchových koutů s kulovým kloubem na odtoku DN 40/50</t>
  </si>
  <si>
    <t>1691455039</t>
  </si>
  <si>
    <t>725865501</t>
  </si>
  <si>
    <t>Zápachové uzávěrky zařizovacích předmětů odpadní soupravy se zápachovou uzávěrkou DN 40/50</t>
  </si>
  <si>
    <t>20736204</t>
  </si>
  <si>
    <t>998725201</t>
  </si>
  <si>
    <t>Přesun hmot pro zařizovací předměty stanovený procentní sazbou (%) z ceny vodorovná dopravní vzdálenost do 50 m v objektech výšky do 6 m</t>
  </si>
  <si>
    <t>-113231773</t>
  </si>
  <si>
    <t>998725292</t>
  </si>
  <si>
    <t>Přesun hmot pro zařizovací předměty stanovený procentní sazbou (%) z ceny Příplatek k cenám za zvětšený přesun přes vymezenou největší dopravní vzdálenost do 100 m</t>
  </si>
  <si>
    <t>-199275421</t>
  </si>
  <si>
    <t>726</t>
  </si>
  <si>
    <t>Zdravotechnika - předstěnové instalace</t>
  </si>
  <si>
    <t>726111031</t>
  </si>
  <si>
    <t>Předstěnové instalační systémy pro zazdění do masivních zděných konstrukcí pro závěsné klozety ovládání zepředu, stavební výška 1080 mm</t>
  </si>
  <si>
    <t>-757141301</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</si>
  <si>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</si>
  <si>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Poznámka k položce:
UPOZORNĚNÍ - POLOŽKA JE KALKULOVÁNA VČETNĚ DODÁVKY A MONTÁŽE OVLÁDACÍHO TLAČÍTKA (plast, chrom, bílá barva, rozm. 24.7x16,5x1,75 cm)</t>
  </si>
  <si>
    <t>726191001</t>
  </si>
  <si>
    <t>Ostatní příslušenství instalačních systémů zvukoizolační souprava pro WC a bidet</t>
  </si>
  <si>
    <t>2093615098</t>
  </si>
  <si>
    <t>726191002</t>
  </si>
  <si>
    <t>Ostatní příslušenství instalačních systémů souprava pro předstěnovou montáž</t>
  </si>
  <si>
    <t>1988445419</t>
  </si>
  <si>
    <t>998726211</t>
  </si>
  <si>
    <t>Přesun hmot pro instalační prefabrikáty stanovený procentní sazbou (%) z ceny vodorovná dopravní vzdálenost do 50 m v objektech výšky do 6 m</t>
  </si>
  <si>
    <t>-434972464</t>
  </si>
  <si>
    <t>998726292</t>
  </si>
  <si>
    <t>Přesun hmot pro instalační prefabrikáty stanovený procentní sazbou (%) z ceny Příplatek k cenám za zvětšený přesun přes vymezenou největší dopravní vzdálenost do 100 m</t>
  </si>
  <si>
    <t>1061348621</t>
  </si>
  <si>
    <t>HZS</t>
  </si>
  <si>
    <t>Hodinové zúčtovací sazby</t>
  </si>
  <si>
    <t>HZS1301</t>
  </si>
  <si>
    <t>Hodinové zúčtovací sazby profesí HSV provádění konstrukcí zedník</t>
  </si>
  <si>
    <t>hod</t>
  </si>
  <si>
    <t>512</t>
  </si>
  <si>
    <t>-1696625970</t>
  </si>
  <si>
    <t>Poznámka k položce:
OSTATNÍ ZEDNICKÉ ZAČIŠTĚNÍ PROSTUPŮ, apod.</t>
  </si>
  <si>
    <t>Vedlejší rozpočtové náklady</t>
  </si>
  <si>
    <t>VRN5</t>
  </si>
  <si>
    <t>Finanční náklady</t>
  </si>
  <si>
    <t>052103000</t>
  </si>
  <si>
    <t>Rezerva investora</t>
  </si>
  <si>
    <t>Kč</t>
  </si>
  <si>
    <t>1024</t>
  </si>
  <si>
    <t>572259624</t>
  </si>
  <si>
    <t xml:space="preserve">Poznámka k položce:
FINANČNÍ REZERVA INVESTORA - NENÍ ZNÁM PŘESNÝ ROZSAH PRACÍ NEZBYTNÝ K NAPOJENÍ STÁVAJÍCÍ LEŽATÉ KANALIZACE (hloubka uložení, materiál stávající ležaté kanalizace, apod.) 
UCHAZEČI  POLOŽKU OCENÍ ČÁSTKOU 30.000,- bez DPH, částka bude čerpatelná jen se souhlasem investora !!! </t>
  </si>
  <si>
    <t>03 - Vytápění</t>
  </si>
  <si>
    <t xml:space="preserve">    733 - Ústřední vytápění - rozvodné potrubí</t>
  </si>
  <si>
    <t xml:space="preserve">    734 - Ústřední vytápění - armatury</t>
  </si>
  <si>
    <t xml:space="preserve">    735 - Ústřední vytápění - otopná tělesa</t>
  </si>
  <si>
    <t>1499471180</t>
  </si>
  <si>
    <t>viz výkr. Půdorys rozvodů ústředního vytápění</t>
  </si>
  <si>
    <t>-789147613</t>
  </si>
  <si>
    <t>807193064</t>
  </si>
  <si>
    <t>733</t>
  </si>
  <si>
    <t>Ústřední vytápění - rozvodné potrubí</t>
  </si>
  <si>
    <t>733223202</t>
  </si>
  <si>
    <t>Potrubí z trubek měděných tvrdých spojovaných tvrdým pájením Ø 15/1</t>
  </si>
  <si>
    <t>1852287804</t>
  </si>
  <si>
    <t>733291101</t>
  </si>
  <si>
    <t>Zkoušky těsnosti potrubí z trubek měděných Ø do 35/1,5</t>
  </si>
  <si>
    <t>-1298925207</t>
  </si>
  <si>
    <t>733811251</t>
  </si>
  <si>
    <t>Ochrana potrubí termoizolačními trubicemi z pěnového polyetylenu PE přilepenými v příčných a podélných spojích, tloušťky izolace přes 20 do 25 mm, vnitřního průměru izolace DN do 22 mm</t>
  </si>
  <si>
    <t>1080676487</t>
  </si>
  <si>
    <t>998733201</t>
  </si>
  <si>
    <t>Přesun hmot pro rozvody potrubí stanovený procentní sazbou z ceny vodorovná dopravní vzdálenost do 50 m v objektech výšky do 6 m</t>
  </si>
  <si>
    <t>-1884201636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</si>
  <si>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</si>
  <si>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998733293</t>
  </si>
  <si>
    <t>Přesun hmot pro rozvody potrubí stanovený procentní sazbou z ceny Příplatek k cenám za zvětšený přesun přes vymezenou největší dopravní vzdálenost do 500 m</t>
  </si>
  <si>
    <t>217608367</t>
  </si>
  <si>
    <t>734</t>
  </si>
  <si>
    <t>Ústřední vytápění - armatury</t>
  </si>
  <si>
    <t>734221545</t>
  </si>
  <si>
    <t>Ventily regulační závitové termostatické, bez hlavice ovládání PN 16 do 110°C přímé jednoregulační G 1/2</t>
  </si>
  <si>
    <t>1928913723</t>
  </si>
  <si>
    <t xml:space="preserve">Poznámka k souboru cen:
1. V cenách -0101 až -0105 nejsou započteny náklady na dodávku a montáž měřící a vypouštěcí armatury.Tyto se oceňují samostatně souborem cen 734 49 1101 až -1105.
</t>
  </si>
  <si>
    <t>734221682</t>
  </si>
  <si>
    <t>Ventily regulační závitové hlavice termostatické, pro ovládání ventilů PN 10 do 110°C kapalinové otopných těles VK</t>
  </si>
  <si>
    <t>1654519201</t>
  </si>
  <si>
    <t>734261402</t>
  </si>
  <si>
    <t>Šroubení připojovací armatury radiátorů VK PN 10 do 110°C, regulační uzavíratelné rohové G 1/2 x 18</t>
  </si>
  <si>
    <t>1692481452</t>
  </si>
  <si>
    <t>998734201</t>
  </si>
  <si>
    <t>Přesun hmot pro armatury stanovený procentní sazbou (%) z ceny vodorovná dopravní vzdálenost do 50 m v objektech výšky do 6 m</t>
  </si>
  <si>
    <t>708631258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</si>
  <si>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</si>
  <si>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998734293</t>
  </si>
  <si>
    <t>Přesun hmot pro armatury stanovený procentní sazbou (%) z ceny Příplatek k cenám za zvětšený přesun přes vymezenou největší dopravní vzdálenost do 500 m</t>
  </si>
  <si>
    <t>2076861952</t>
  </si>
  <si>
    <t>735</t>
  </si>
  <si>
    <t>Ústřední vytápění - otopná tělesa</t>
  </si>
  <si>
    <t>735151571</t>
  </si>
  <si>
    <t>Otopná tělesa panelová dvoudesková PN 1,0 MPa, T do 110°C se dvěma přídavnými přestupními plochami výšky tělesa 600 mm stavební délky / výkonu 400 mm / 672 W</t>
  </si>
  <si>
    <t>-1505919891</t>
  </si>
  <si>
    <t xml:space="preserve">Poznámka k souboru cen:
1. Ceny lze použít pro jakýkoli způsob připojení.
</t>
  </si>
  <si>
    <t>2+0</t>
  </si>
  <si>
    <t>735151574</t>
  </si>
  <si>
    <t>Otopná tělesa panelová dvoudesková PN 1,0 MPa, T do 110°C se dvěma přídavnými přestupními plochami výšky tělesa 600 mm stavební délky / výkonu 700 mm / 1175 W</t>
  </si>
  <si>
    <t>2078297899</t>
  </si>
  <si>
    <t>735151575</t>
  </si>
  <si>
    <t>Otopná tělesa panelová dvoudesková PN 1,0 MPa, T do 110°C se dvěma přídavnými přestupními plochami výšky tělesa 600 mm stavební délky / výkonu 800 mm / 1343 W</t>
  </si>
  <si>
    <t>310022674</t>
  </si>
  <si>
    <t>1+0</t>
  </si>
  <si>
    <t>735151577</t>
  </si>
  <si>
    <t>Otopná tělesa panelová dvoudesková PN 1,0 MPa, T do 110°C se dvěma přídavnými přestupními plochami výšky tělesa 600 mm stavební délky / výkonu 1000 mm / 1679 W</t>
  </si>
  <si>
    <t>-1616496460</t>
  </si>
  <si>
    <t>735151578</t>
  </si>
  <si>
    <t>Otopná tělesa panelová dvoudesková PN 1,0 MPa, T do 110°C se dvěma přídavnými přestupními plochami výšky tělesa 600 mm stavební délky / výkonu 1100 mm / 1847 W</t>
  </si>
  <si>
    <t>-1586312110</t>
  </si>
  <si>
    <t>0+1</t>
  </si>
  <si>
    <t>1+2</t>
  </si>
  <si>
    <t>73516426R</t>
  </si>
  <si>
    <t>Otopná tělesa trubková přímotopnána stěnu výšky tělesa 1500 mm, délky 450 mm, 626W</t>
  </si>
  <si>
    <t>-729133131</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</si>
  <si>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</si>
  <si>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998735201</t>
  </si>
  <si>
    <t>Přesun hmot pro otopná tělesa stanovený procentní sazbou (%) z ceny vodorovná dopravní vzdálenost do 50 m v objektech výšky do 6 m</t>
  </si>
  <si>
    <t>670834304</t>
  </si>
  <si>
    <t>998735293</t>
  </si>
  <si>
    <t>Přesun hmot pro otopná tělesa stanovený procentní sazbou (%) z ceny Příplatek k cenám za zvětšený přesun přes vymezenou největší dopravní vzdálenost do 500 m</t>
  </si>
  <si>
    <t>-916510295</t>
  </si>
  <si>
    <t>783601713</t>
  </si>
  <si>
    <t>Příprava podkladu armatur a kovových potrubí před provedením nátěru potrubí do DN 50 mm odmaštěním, odmašťovačem vodou ředitelným</t>
  </si>
  <si>
    <t>2110744487</t>
  </si>
  <si>
    <t>783614551</t>
  </si>
  <si>
    <t>Základní nátěr armatur a kovových potrubí jednonásobný potrubí do DN 50 mm syntetický</t>
  </si>
  <si>
    <t>-1402871947</t>
  </si>
  <si>
    <t>-1719940943</t>
  </si>
  <si>
    <t>HZS2211</t>
  </si>
  <si>
    <t>Hodinové zúčtovací sazby profesí PSV provádění stavebních instalací instalatér</t>
  </si>
  <si>
    <t>1482663234</t>
  </si>
  <si>
    <t>Poznámka k položce:
DEMONTÁŽ STÁVAJÍCÍCH ROZVODŮ VYTÁPĚNÍ VČETNĚ OTOPNÝCH TĚLES</t>
  </si>
  <si>
    <t>HZS2212</t>
  </si>
  <si>
    <t>Hodinové zúčtovací sazby profesí PSV provádění stavebních instalací instalatér odborný</t>
  </si>
  <si>
    <t>-1092641172</t>
  </si>
  <si>
    <t>Poznámka k položce:
TOPNÁ ZKOUŠKA apod.</t>
  </si>
  <si>
    <t>04 - Elektroinstalace</t>
  </si>
  <si>
    <t xml:space="preserve">    741 - Elektroinstalace - silnoproud</t>
  </si>
  <si>
    <t xml:space="preserve">    742 - Elektroinstalace - slaboproud</t>
  </si>
  <si>
    <t>1220265776</t>
  </si>
  <si>
    <t>-1150565892</t>
  </si>
  <si>
    <t>1189641557</t>
  </si>
  <si>
    <t>viz výkr. Půdorys 1.NP, 2.NP - elektroinstalace</t>
  </si>
  <si>
    <t>802*0,1</t>
  </si>
  <si>
    <t>971033131</t>
  </si>
  <si>
    <t>Vybourání otvorů ve zdivu základovém nebo nadzákladovém z cihel, tvárnic, příčkovek z cihel pálených na maltu vápennou nebo vápenocementovou průměru profilu do 60 mm, tl. do 150 mm</t>
  </si>
  <si>
    <t>-180805958</t>
  </si>
  <si>
    <t>971033151</t>
  </si>
  <si>
    <t>Vybourání otvorů ve zdivu základovém nebo nadzákladovém z cihel, tvárnic, příčkovek z cihel pálených na maltu vápennou nebo vápenocementovou průměru profilu do 60 mm, tl. do 450 mm</t>
  </si>
  <si>
    <t>62546605</t>
  </si>
  <si>
    <t>974031142</t>
  </si>
  <si>
    <t>Vysekání rýh ve zdivu cihelném na maltu vápennou nebo vápenocementovou do hl. 70 mm a šířky do 70 mm</t>
  </si>
  <si>
    <t>538766252</t>
  </si>
  <si>
    <t>802</t>
  </si>
  <si>
    <t>-536592592</t>
  </si>
  <si>
    <t>-1661316381</t>
  </si>
  <si>
    <t>7,26*5 'Přepočtené koeficientem množství</t>
  </si>
  <si>
    <t>-2113245925</t>
  </si>
  <si>
    <t>1690936797</t>
  </si>
  <si>
    <t>7,26*24 'Přepočtené koeficientem množství</t>
  </si>
  <si>
    <t>-2103603014</t>
  </si>
  <si>
    <t>-1564165786</t>
  </si>
  <si>
    <t>-1275672163</t>
  </si>
  <si>
    <t>741</t>
  </si>
  <si>
    <t>Elektroinstalace - silnoproud</t>
  </si>
  <si>
    <t>741110041</t>
  </si>
  <si>
    <t>Montáž trubek elektroinstalačních s nasunutím nebo našroubováním do krabic plastových ohebných, uložených pevně, vnější Ø přes 11 do 23 mm</t>
  </si>
  <si>
    <t>1165998638</t>
  </si>
  <si>
    <t>34571150</t>
  </si>
  <si>
    <t>trubka elektroinstalační ohebná z PH, D 13,5/18,7mm</t>
  </si>
  <si>
    <t>-549270784</t>
  </si>
  <si>
    <t>36*1,1 'Přepočtené koeficientem množství</t>
  </si>
  <si>
    <t>741112001</t>
  </si>
  <si>
    <t>Montáž krabic elektroinstalačních bez napojení na trubky a lišty, demontáže a montáže víčka a přístroje protahovacích nebo odbočných zapuštěných plastových kruhových</t>
  </si>
  <si>
    <t>2114522363</t>
  </si>
  <si>
    <t>34571519</t>
  </si>
  <si>
    <t>krabice univerzální odbočná z PH s víčkem, D 73,5mmx43mm</t>
  </si>
  <si>
    <t>97838674</t>
  </si>
  <si>
    <t>741112061</t>
  </si>
  <si>
    <t>Montáž krabic elektroinstalačních bez napojení na trubky a lišty, demontáže a montáže víčka a přístroje přístrojových zapuštěných plastových kruhových</t>
  </si>
  <si>
    <t>1334145257</t>
  </si>
  <si>
    <t>41+5+104</t>
  </si>
  <si>
    <t>34571512</t>
  </si>
  <si>
    <t>krabice přístrojová instalační 500V, 71x71x42mm</t>
  </si>
  <si>
    <t>-1105819999</t>
  </si>
  <si>
    <t>741122015</t>
  </si>
  <si>
    <t>Montáž kabelů měděných bez ukončení uložených pod omítku plných kulatých (např. CYKY), počtu a průřezu žil 3x1,5 mm2</t>
  </si>
  <si>
    <t>1254293984</t>
  </si>
  <si>
    <t>1494-36</t>
  </si>
  <si>
    <t>34111030</t>
  </si>
  <si>
    <t>kabel silový s Cu jádrem 1kV 3x1,5mm2 (CYKY)</t>
  </si>
  <si>
    <t>871887632</t>
  </si>
  <si>
    <t>1458*1,2 'Přepočtené koeficientem množství</t>
  </si>
  <si>
    <t>741122016</t>
  </si>
  <si>
    <t>Montáž kabelů měděných bez ukončení uložených pod omítku plných kulatých (např. CYKY), počtu a průřezu žil 3x2,5 až 6 mm2</t>
  </si>
  <si>
    <t>-480609978</t>
  </si>
  <si>
    <t>1057</t>
  </si>
  <si>
    <t>34111036</t>
  </si>
  <si>
    <t>kabel silový s Cu jádrem 1kV 3x2,5mm2 (CYKY)</t>
  </si>
  <si>
    <t>795344291</t>
  </si>
  <si>
    <t>1057*1,2 'Přepočtené koeficientem množství</t>
  </si>
  <si>
    <t>741122122</t>
  </si>
  <si>
    <t>Montáž kabelů měděných bez ukončení uložených v trubkách zatažených plných kulatých nebo bezhalogenových (např. CYKY) počtu a průřezu žil 3x1,5 až 6 mm2</t>
  </si>
  <si>
    <t>-1802551288</t>
  </si>
  <si>
    <t>1907296920</t>
  </si>
  <si>
    <t>36*1,2 'Přepočtené koeficientem množství</t>
  </si>
  <si>
    <t>741130001</t>
  </si>
  <si>
    <t>Ukončení vodičů izolovaných s označením a zapojením v rozváděči nebo na přístroji, průřezu žíly do 2,5 mm2</t>
  </si>
  <si>
    <t>220323308</t>
  </si>
  <si>
    <t>741130021</t>
  </si>
  <si>
    <t>Ukončení vodičů izolovaných s označením a zapojením na svorkovnici s otevřením a uzavřením krytu, průřezu žíly do 2,5 mm2</t>
  </si>
  <si>
    <t>481126795</t>
  </si>
  <si>
    <t>468</t>
  </si>
  <si>
    <t>741310001</t>
  </si>
  <si>
    <t>Montáž spínačů jedno nebo dvoupólových nástěnných se zapojením vodičů, pro prostředí normální vypínačů, řazení 1-jednopólových</t>
  </si>
  <si>
    <t>1618254478</t>
  </si>
  <si>
    <t>34535512</t>
  </si>
  <si>
    <t>spínač jednopólový 10A bílý</t>
  </si>
  <si>
    <t>-1749475215</t>
  </si>
  <si>
    <t>Poznámka k položce:
KOMPLETNÍ - VČ. RÁMEČKU</t>
  </si>
  <si>
    <t>741310003</t>
  </si>
  <si>
    <t>Montáž spínačů jedno nebo dvoupólových nástěnných se zapojením vodičů, pro prostředí normální vypínačů, řazení 2-dvoupólových</t>
  </si>
  <si>
    <t>39950256</t>
  </si>
  <si>
    <t>8500143361</t>
  </si>
  <si>
    <t>spínač dvoupólový 10A bílý</t>
  </si>
  <si>
    <t>-1484679708</t>
  </si>
  <si>
    <t>741313043</t>
  </si>
  <si>
    <t>Montáž zásuvek domovních se zapojením vodičů šroubové připojení polozapuštěných nebo zapuštěných 10/16 A, provedení 2x (2P + PE) dvojnásobná</t>
  </si>
  <si>
    <t>-1193999202</t>
  </si>
  <si>
    <t>34555120</t>
  </si>
  <si>
    <t>zásuvka 2násobná 16A bílá</t>
  </si>
  <si>
    <t>1152541651</t>
  </si>
  <si>
    <t>741372051</t>
  </si>
  <si>
    <t>Montáž svítidel LED se zapojením vodičů bytových nebo společenských místností přisazených stropních bez pohybového čidla</t>
  </si>
  <si>
    <t>-1935511544</t>
  </si>
  <si>
    <t>TYP 1</t>
  </si>
  <si>
    <t>LED svítidlo stropní, 14 W</t>
  </si>
  <si>
    <t>-2112223084</t>
  </si>
  <si>
    <t>741372052</t>
  </si>
  <si>
    <t>Montáž svítidel LED se zapojením vodičů bytových nebo společenských místností přisazených stropních s pohybovým čidlem</t>
  </si>
  <si>
    <t>-1939184802</t>
  </si>
  <si>
    <t>TYP 2</t>
  </si>
  <si>
    <t>LED svítidlo stropní s čidlem pohybu, 11 W</t>
  </si>
  <si>
    <t>-1746353668</t>
  </si>
  <si>
    <t>741372012</t>
  </si>
  <si>
    <t>Montáž svítidel LED se zapojením vodičů bytových nebo společenských místností přisazených nástěnných bez pohybového čidla</t>
  </si>
  <si>
    <t>1999493770</t>
  </si>
  <si>
    <t>TYP 3</t>
  </si>
  <si>
    <t>2001624217</t>
  </si>
  <si>
    <t>741372013</t>
  </si>
  <si>
    <t>Montáž svítidel LED se zapojením vodičů bytových nebo společenských místností přisazených nástěnných s pohybovým čidlem</t>
  </si>
  <si>
    <t>771703757</t>
  </si>
  <si>
    <t>TYP 4</t>
  </si>
  <si>
    <t>LED svítidlo nástěnné s čidlem pohybu, 11 W</t>
  </si>
  <si>
    <t>-1264777807</t>
  </si>
  <si>
    <t>74137205R</t>
  </si>
  <si>
    <t>Montáž svítidel LED se zapojením vodičů bytových nebo společenských místností "bodových" stropních bez pohybového čidla</t>
  </si>
  <si>
    <t>-2094945477</t>
  </si>
  <si>
    <t>TYP 5</t>
  </si>
  <si>
    <t>LED svítidlo bodové stropní (pro SDK podhled), 6W</t>
  </si>
  <si>
    <t>567698676</t>
  </si>
  <si>
    <t>741-R1</t>
  </si>
  <si>
    <t>-1922194802</t>
  </si>
  <si>
    <t>741-R3</t>
  </si>
  <si>
    <t>OSVĚTLENÍ KUCHYŇSKÉ LINKY : LED pásek, 12W, v liště, DODÁVKA A MONTÁŽ VČ. PŘÍSLUŠENSTVÍ (délka 2,9 m) - m.č. 203</t>
  </si>
  <si>
    <t>-1107166154</t>
  </si>
  <si>
    <t>741810001</t>
  </si>
  <si>
    <t>Zkoušky a prohlídky elektrických rozvodů a zařízení celková prohlídka a vyhotovení revizní zprávy pro objem montážních prací do 100 tis. Kč</t>
  </si>
  <si>
    <t>1565412712</t>
  </si>
  <si>
    <t xml:space="preserve">Poznámka k souboru cen:
1. Ceny -0001 až -0011 jsou určeny pro objem montážních prací včetně všech nákladů.
</t>
  </si>
  <si>
    <t>998741201</t>
  </si>
  <si>
    <t>Přesun hmot pro silnoproud stanovený procentní sazbou (%) z ceny vodorovná dopravní vzdálenost do 50 m v objektech výšky do 6 m</t>
  </si>
  <si>
    <t>1900453161</t>
  </si>
  <si>
    <t>998741292</t>
  </si>
  <si>
    <t>Přesun hmot pro silnoproud stanovený procentní sazbou (%) z ceny Příplatek k cenám za zvětšený přesun přes vymezenou největší dopravní vzdálenost do 100 m</t>
  </si>
  <si>
    <t>298628023</t>
  </si>
  <si>
    <t>742</t>
  </si>
  <si>
    <t>Elektroinstalace - slaboproud</t>
  </si>
  <si>
    <t>742121001</t>
  </si>
  <si>
    <t>Montáž kabelů sdělovacích pro vnitřní rozvody počtu žil do 15</t>
  </si>
  <si>
    <t>301606654</t>
  </si>
  <si>
    <t xml:space="preserve">Poznámka k souboru cen:
1. Ceny lze použít i pro ocenění koaxiálních kabelů.
</t>
  </si>
  <si>
    <t>34121044</t>
  </si>
  <si>
    <t>kabel sdělovací s Cu jádrem 2x2x0,5mm (SYKFY)</t>
  </si>
  <si>
    <t>-1989794019</t>
  </si>
  <si>
    <t>114*1,2 'Přepočtené koeficientem množství</t>
  </si>
  <si>
    <t>-846976828</t>
  </si>
  <si>
    <t>0031504</t>
  </si>
  <si>
    <t>Koaxiální kabel, plášť PVC, vnitřní instalace, do 250m, balení 100m</t>
  </si>
  <si>
    <t>-236625116</t>
  </si>
  <si>
    <t>44*1,2 'Přepočtené koeficientem množství</t>
  </si>
  <si>
    <t>742122001</t>
  </si>
  <si>
    <t>Montáž kabelové spojky nebo svorkovnice do 15 žil</t>
  </si>
  <si>
    <t>-1180351557</t>
  </si>
  <si>
    <t>35436031</t>
  </si>
  <si>
    <t>spojka kabelová smršťovaná přímá do 1kV  91ahsc-95 3-4ž.x50-95mm</t>
  </si>
  <si>
    <t>1049222179</t>
  </si>
  <si>
    <t>742330041</t>
  </si>
  <si>
    <t>Montáž strukturované kabeláže zásuvek datových pod omítku, do nábytku, do parapetního žlabu nebo podlahové krabice jednozásuvky</t>
  </si>
  <si>
    <t>-2060890594</t>
  </si>
  <si>
    <t>8500048098</t>
  </si>
  <si>
    <t>Zásuvka datová CAT6 UTP 2xRJ45, Solarix</t>
  </si>
  <si>
    <t>-1789923884</t>
  </si>
  <si>
    <t>742330051</t>
  </si>
  <si>
    <t>Montáž strukturované kabeláže zásuvek datových popis portu zásuvky</t>
  </si>
  <si>
    <t>-2104405523</t>
  </si>
  <si>
    <t>742420121</t>
  </si>
  <si>
    <t>Montáž společné televizní antény televizní zásuvky koncové nebo průběžné</t>
  </si>
  <si>
    <t>1292836364</t>
  </si>
  <si>
    <t>37451224</t>
  </si>
  <si>
    <t>zásuvka tv+r+sat ostatní barvy</t>
  </si>
  <si>
    <t>1445069941</t>
  </si>
  <si>
    <t>998742201</t>
  </si>
  <si>
    <t>Přesun hmot pro slaboproud stanovený procentní sazbou (%) z ceny vodorovná dopravní vzdálenost do 50 m v objektech výšky do 6 m</t>
  </si>
  <si>
    <t>-410145268</t>
  </si>
  <si>
    <t>998742292</t>
  </si>
  <si>
    <t>Přesun hmot pro slaboproud stanovený procentní sazbou (%) z ceny Příplatek k cenám za zvětšený přesun přes vymezenou největší dopravní vzdálenost do 100 m</t>
  </si>
  <si>
    <t>-752991768</t>
  </si>
  <si>
    <t>282031258</t>
  </si>
  <si>
    <t>HZS2221</t>
  </si>
  <si>
    <t>Hodinové zúčtovací sazby profesí PSV provádění stavebních instalací elektrikář</t>
  </si>
  <si>
    <t>-561391625</t>
  </si>
  <si>
    <t>Poznámka k položce:
DEMONTÁŽ STÁVAJÍCÍCH ROZVODŮ ELEKTROINSTALACE, VYPÍNAČŮ, ZÁSUVEK, SVÍTIDEL, apod.</t>
  </si>
  <si>
    <t>HZS2222</t>
  </si>
  <si>
    <t>Hodinové zúčtovací sazby profesí PSV provádění stavebních instalací elektrikář odborný</t>
  </si>
  <si>
    <t>370734724</t>
  </si>
  <si>
    <t>Poznámka k položce:
ÚPRAVY VE STÁVAJÍCÍM ROZUVADĚČI R1 a R2</t>
  </si>
  <si>
    <t>05 - VZT</t>
  </si>
  <si>
    <t xml:space="preserve">    713 - Izolace tepelné</t>
  </si>
  <si>
    <t xml:space="preserve">    751 - Vzduchotechnika</t>
  </si>
  <si>
    <t>-289926654</t>
  </si>
  <si>
    <t>2113349268</t>
  </si>
  <si>
    <t>viz Půdorys 1.NP, 2.NP - vzduchotechnika</t>
  </si>
  <si>
    <t>713</t>
  </si>
  <si>
    <t>Izolace tepelné</t>
  </si>
  <si>
    <t>713411131</t>
  </si>
  <si>
    <t>Montáž izolace tepelné potrubí a ohybů pásy nebo rohožemi s povrchovou úpravou hliníkovou fólií připevněnými ocelovým drátem do konstrukce z ocelových pásů potrubí jednovrstvá</t>
  </si>
  <si>
    <t>55170821</t>
  </si>
  <si>
    <t>63151671</t>
  </si>
  <si>
    <t>rohož izolační z minerální vlny lamelová s Al fólií 55kg/m3 tl 40mm</t>
  </si>
  <si>
    <t>-1088875497</t>
  </si>
  <si>
    <t>998713192</t>
  </si>
  <si>
    <t>Přesun hmot pro izolace tepelné stanovený z hmotnosti přesunovaného materiálu Příplatek k cenám za zvětšený přesun přes vymezenou největší dopravní vzdálenost do 100 m</t>
  </si>
  <si>
    <t>-1850161766</t>
  </si>
  <si>
    <t>998713201</t>
  </si>
  <si>
    <t>Přesun hmot pro izolace tepelné stanovený procentní sazbou (%) z ceny vodorovná dopravní vzdálenost do 50 m v objektech výšky do 6 m</t>
  </si>
  <si>
    <t>1611958765</t>
  </si>
  <si>
    <t>751</t>
  </si>
  <si>
    <t>Vzduchotechnika</t>
  </si>
  <si>
    <t>751111051</t>
  </si>
  <si>
    <t>Montáž ventilátoru axiálního nízkotlakého podhledového, průměru do 100 mm</t>
  </si>
  <si>
    <t>-134032044</t>
  </si>
  <si>
    <t>7+2</t>
  </si>
  <si>
    <t>751-spc002</t>
  </si>
  <si>
    <t>malý axiální ventilátor pro kruhové potrubí DN 100 mm, skříňz nárazuvzdorného plastu, barva je bílá, určen k montáži do strpního podhledu, ventilátor obsahuje zpětnou klapku, výkon 100 m3/hod.</t>
  </si>
  <si>
    <t>3194406</t>
  </si>
  <si>
    <t>751344111</t>
  </si>
  <si>
    <t>Montáž tlumičů hluku pro kruhové potrubí, průměru do 100 mm</t>
  </si>
  <si>
    <t>1209187583</t>
  </si>
  <si>
    <t>751-spc003</t>
  </si>
  <si>
    <t>tlumič hluhu do kruhového potrubí DN 100 mm, zvuková a tepelná izolace</t>
  </si>
  <si>
    <t>-594351063</t>
  </si>
  <si>
    <t xml:space="preserve">Poznámka k položce:
</t>
  </si>
  <si>
    <t>751398041</t>
  </si>
  <si>
    <t>Montáž ostatních zařízení protidešťové žaluzie nebo žaluziové klapky na kruhové potrubí, průměru do 300 mm</t>
  </si>
  <si>
    <t>-550756969</t>
  </si>
  <si>
    <t>2+1</t>
  </si>
  <si>
    <t>751-spc004</t>
  </si>
  <si>
    <t>protidešťová žaluzie pro kruhové potrubí DN 100 mm, rám a žaluzie z plastu, barva bílá</t>
  </si>
  <si>
    <t>-539911922</t>
  </si>
  <si>
    <t>751537131</t>
  </si>
  <si>
    <t>Montáž kruhového potrubí ohebného izolovaného minerální vatou z Al folie, průměru do 100 mm</t>
  </si>
  <si>
    <t>1865898290</t>
  </si>
  <si>
    <t>751-spc005</t>
  </si>
  <si>
    <t>polotuhá ohebná hadice z Al fólie, falcování mimořádně pevným vícenásobným zámkem pro mechanická větrací a klimatická vedení vč. příslušenství</t>
  </si>
  <si>
    <t>-732336733</t>
  </si>
  <si>
    <t>751-spc006</t>
  </si>
  <si>
    <t>izolace pro ohebné rozvodné potrubí vč. příslušenství</t>
  </si>
  <si>
    <t>1212516952</t>
  </si>
  <si>
    <t>751572101</t>
  </si>
  <si>
    <t>Závěs kruhového potrubí pomocí objímky, kotvené do betonu průměru potrubí do 100 mm</t>
  </si>
  <si>
    <t>1308706775</t>
  </si>
  <si>
    <t>751581351</t>
  </si>
  <si>
    <t>Protipožární ochrana vzduchotechnického potrubí prostup kruhového potrubí stěnou, průměru potrubí do 100 mm</t>
  </si>
  <si>
    <t>-882982719</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</si>
  <si>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</si>
  <si>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998751201</t>
  </si>
  <si>
    <t>Přesun hmot pro vzduchotechniku stanovený procentní sazbou (%) z ceny vodorovná dopravní vzdálenost do 50 m v objektech výšky do 12 m</t>
  </si>
  <si>
    <t>837245185</t>
  </si>
  <si>
    <t>998751291</t>
  </si>
  <si>
    <t>Přesun hmot pro vzduchotechniku stanovený procentní sazbou (%) z ceny Příplatek k cenám za zvětšený přesun přes vymezenou největší dopravní vzdálenost do 500 m</t>
  </si>
  <si>
    <t>-741402693</t>
  </si>
  <si>
    <t>1648546496</t>
  </si>
  <si>
    <t>HZS3212</t>
  </si>
  <si>
    <t>Hodinové zúčtovací sazby montáží technologických zařízení na stavebních objektech montér vzduchotechniky odborný</t>
  </si>
  <si>
    <t>-2024795254</t>
  </si>
  <si>
    <t>Poznámka k položce:
ZPROVZNĚNÍ ZAŘÍZENÍ VZT, ZAŠKOLENÍ OBSLUHY</t>
  </si>
  <si>
    <t>06 - Interiérové vybavení</t>
  </si>
  <si>
    <t>D.2.22</t>
  </si>
  <si>
    <t>-1730221593</t>
  </si>
  <si>
    <t>Poznámka k položce:
PODROBNÁ SPECIFIKACE VÝROBKU - VIZ ČÁST PD "D.2. - INTERIÉROVÉ ŘEŠENÍ, VÝKR.č. D.2.22</t>
  </si>
  <si>
    <t>D.2.23</t>
  </si>
  <si>
    <t>915027429</t>
  </si>
  <si>
    <t>Poznámka k položce:
PODROBNÁ SPECIFIKACE VÝROBKU - VIZ ČÁST PD "D.2. - INTERIÉROVÉ ŘEŠENÍ, VÝKR.č. D.2.23</t>
  </si>
  <si>
    <t>D.2.31</t>
  </si>
  <si>
    <t>KUCHYŇSKÁ LINKA v m.č. 203 : VÝROBA, DODÁVKA A MONTÁŽ v rozsahu projektu interiéru, výkr.č. D.2.31, základní parametry - spodní a horní skříňky, š.2900 x hl. 590 mm x v. 2660 mm, materiál LTD lamino (barva bílá a bělený dub - barevná kombinace truhlářského výrobku je zřejmá z výkresu čelního pohledu a z výkresu řezu), kovová dveřní madla, dřez s odkapávačem 780x435 mm, hl. 150 mm (nerez), dřezová baterie chrom, výška 196 mm</t>
  </si>
  <si>
    <t>656857372</t>
  </si>
  <si>
    <t>Poznámka k položce:
PODROBNÁ SPECIFIKACE VÝROBKU - VIZ ČÁST PD "D.2. - INTERIÉROVÉ ŘEŠENÍ, VÝKR.č. D.2.31</t>
  </si>
  <si>
    <t>D.2.35</t>
  </si>
  <si>
    <t>ŠATNÍ SKŘÍŇ v m.č. 209 : VÝROBA, DODÁVKA A MONTÁŽ v rozsahu projektu interiéru, výkr.č. D.2.35, základní parametry - š.3000 x hl. 400 mm x v. 1830 mm, materiál LTD lamino (barva bílá a bělený dub - barevná kombinace truhlářského výrobku je zřejmá z výkresu čelního pohledu a z výkresu řezu), kovová dveřní madla, výsuvná šatní tyč</t>
  </si>
  <si>
    <t>1655657037</t>
  </si>
  <si>
    <t>Poznámka k položce:
PODROBNÁ SPECIFIKACE VÝROBKU - VIZ ČÁST PD "D.2. - INTERIÉROVÉ ŘEŠENÍ, VÝKR.č. D.2.35</t>
  </si>
  <si>
    <t>D.2.37</t>
  </si>
  <si>
    <t>ŠATNÍ SKŘÍŇ v m.č. 210 : VÝROBA, DODÁVKA A MONTÁŽ v rozsahu projektu interiéru, výkr.č. D.2.37, základní parametry - š.3000 x hl. 400 mm x v. 1830 mm, materiál LTD lamino (barva bílá a bělený dub - barevná kombinace truhlářského výrobku je zřejmá z výkresu čelního pohledu a z výkresu řezu), kovová dveřní madla, výsuvná šatní tyč</t>
  </si>
  <si>
    <t>1097126117</t>
  </si>
  <si>
    <t>Poznámka k položce:
PODROBNÁ SPECIFIKACE VÝROBKU - VIZ ČÁST PD "D.2. - INTERIÉROVÉ ŘEŠENÍ, VÝKR.č. D.2.37</t>
  </si>
  <si>
    <t>1702553220</t>
  </si>
  <si>
    <t>-2055651550</t>
  </si>
  <si>
    <t>417901967</t>
  </si>
  <si>
    <t>D.2.19-R1</t>
  </si>
  <si>
    <t>REGÁLOVÝ SYSTÉM v m.č. 117 (PRVEK R1) : VÝROBA, DODÁVKA A MONTÁŽ v rozsahu projektu interiéru, výkr.č. D.2.19, základní parametry R1 - š.1200 mm x hl. 600 mm x v. 2400 mm, počet polic 6 ks</t>
  </si>
  <si>
    <t>-1798150236</t>
  </si>
  <si>
    <t>Poznámka k položce:
PODROBNÁ SPECIFIKACE VÝROBKU - VIZ ČÁST PD "D.2. - INTERIÉROVÉ ŘEŠENÍ, VÝKR.č. D.2.19 (regály s kovovou konstrukcí s bílými laminovnými polycemi, kovové díly opatřeby vypalovací práškovou barvou v barvě antracit, výškově nastavitelné police v krocích po 3,5 cm, regály budou k sobě vzájemně šroubovány a kotveny k přilehlým stěnám)</t>
  </si>
  <si>
    <t>D.2.19-R2</t>
  </si>
  <si>
    <t>1583754995</t>
  </si>
  <si>
    <t>D.2.19-R3</t>
  </si>
  <si>
    <t>324928608</t>
  </si>
  <si>
    <t>D.2.19-R4</t>
  </si>
  <si>
    <t>220198489</t>
  </si>
  <si>
    <t>D.2.19-R7</t>
  </si>
  <si>
    <t>-345084300</t>
  </si>
  <si>
    <t>D.2.19-R8</t>
  </si>
  <si>
    <t>73133308</t>
  </si>
  <si>
    <t>D.2.19-R11</t>
  </si>
  <si>
    <t>-2146284441</t>
  </si>
  <si>
    <t>D.2.19-R12</t>
  </si>
  <si>
    <t>-520540219</t>
  </si>
  <si>
    <t>D.2.20-R1</t>
  </si>
  <si>
    <t>499069343</t>
  </si>
  <si>
    <t>Poznámka k položce:
PODROBNÁ SPECIFIKACE VÝROBKU - VIZ ČÁST PD "D.2. - INTERIÉROVÉ ŘEŠENÍ, VÝKR.č. D.2.20 (regály s kovovou konstrukcí s bílými laminovnými polycemi, kovové díly opatřeby vypalovací práškovou barvou v barvě antracit, výškově nastavitelné police v krocích po 3,5 cm, regály budou k sobě vzájemně šroubovány a kotveny k přilehlým stěnám)</t>
  </si>
  <si>
    <t>D.2.20-R2</t>
  </si>
  <si>
    <t>1043006814</t>
  </si>
  <si>
    <t>D.2.20-R3</t>
  </si>
  <si>
    <t>1852410478</t>
  </si>
  <si>
    <t>D.2.20-R5</t>
  </si>
  <si>
    <t>-271852705</t>
  </si>
  <si>
    <t>D.2.20-R6</t>
  </si>
  <si>
    <t>416505181</t>
  </si>
  <si>
    <t>D.2.20-R7</t>
  </si>
  <si>
    <t>1135093414</t>
  </si>
  <si>
    <t>D.2.20-R8</t>
  </si>
  <si>
    <t>1351465581</t>
  </si>
  <si>
    <t>D.2.20-R9</t>
  </si>
  <si>
    <t>1952790139</t>
  </si>
  <si>
    <t>D.2.20-R11</t>
  </si>
  <si>
    <t>1130598090</t>
  </si>
  <si>
    <t>1045322758</t>
  </si>
  <si>
    <t>07 - VRN</t>
  </si>
  <si>
    <t>VRN1</t>
  </si>
  <si>
    <t>Zařízení staveniště</t>
  </si>
  <si>
    <t>030001000</t>
  </si>
  <si>
    <t>-1642595195</t>
  </si>
  <si>
    <t>Poznámka k položce:
Kompletní zařízení staveniště, jeho vybavení a provoz, včetně likvidace zařízení staveniště.</t>
  </si>
  <si>
    <t>598168295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</si>
  <si>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</si>
  <si>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</si>
  <si>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</si>
  <si>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</si>
  <si>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</si>
  <si>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</si>
  <si>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</si>
  <si>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</si>
  <si>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</si>
  <si>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</si>
  <si>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</si>
  <si>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</si>
  <si>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</si>
  <si>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</si>
  <si>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</si>
  <si>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</si>
  <si>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</si>
  <si>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</si>
  <si>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</si>
  <si>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</si>
  <si>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</si>
  <si>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</si>
  <si>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</si>
  <si>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</si>
  <si>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</si>
  <si>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</si>
  <si>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</si>
  <si>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</si>
  <si>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</si>
  <si>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</si>
  <si>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</si>
  <si>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</si>
  <si>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</si>
  <si>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</si>
  <si>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</si>
  <si>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</si>
  <si>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</si>
  <si>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</si>
  <si>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</si>
  <si>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</si>
  <si>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</si>
  <si>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</si>
  <si>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</si>
  <si>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</si>
  <si>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</si>
  <si>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</si>
  <si>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</si>
  <si>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</si>
  <si>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</si>
  <si>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</si>
  <si>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</si>
  <si>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</si>
  <si>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</si>
  <si>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</si>
  <si>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</si>
  <si>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</si>
  <si>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</si>
  <si>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</si>
  <si>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</si>
  <si>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</si>
  <si>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</si>
  <si>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</si>
  <si>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</si>
  <si>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</si>
  <si>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</si>
  <si>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</si>
  <si>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</si>
  <si>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</si>
  <si>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</si>
  <si>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</si>
  <si>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</si>
  <si>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</si>
  <si>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</si>
  <si>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</si>
  <si>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</si>
  <si>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</si>
  <si>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</si>
  <si>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</si>
  <si>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</si>
  <si>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</si>
  <si>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</si>
  <si>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</si>
  <si>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</si>
  <si>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</si>
  <si>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</si>
  <si>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</si>
  <si>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</si>
  <si>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</si>
  <si>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</si>
  <si>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</si>
  <si>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</si>
  <si>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</si>
  <si>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</si>
  <si>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</si>
  <si>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</si>
  <si>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</si>
  <si>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</si>
  <si>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</si>
  <si>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</si>
  <si>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</si>
  <si>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</si>
  <si>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</si>
  <si>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</si>
  <si>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</si>
  <si>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</si>
  <si>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</si>
  <si>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</si>
  <si>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</si>
  <si>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</si>
  <si>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</si>
  <si>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</si>
  <si>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</si>
  <si>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</si>
  <si>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</si>
  <si>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</si>
  <si>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</si>
  <si>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</si>
  <si>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</si>
  <si>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</si>
  <si>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</si>
  <si>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</si>
  <si>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</si>
  <si>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</si>
  <si>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</si>
  <si>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</si>
  <si>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</si>
  <si>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</si>
  <si>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</si>
  <si>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</si>
  <si>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</si>
  <si>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</si>
  <si>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</si>
  <si>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</si>
  <si>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</si>
  <si>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</si>
  <si>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</si>
  <si>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</si>
  <si>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</si>
  <si>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</si>
  <si>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</si>
  <si>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</si>
  <si>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</si>
  <si>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</si>
  <si>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</si>
  <si>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</si>
  <si>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</si>
  <si>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</si>
  <si>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</si>
  <si>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</si>
  <si>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</si>
  <si>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</si>
  <si>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</si>
  <si>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</si>
  <si>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</si>
  <si>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</si>
  <si>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</si>
  <si>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</si>
  <si>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</si>
  <si>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</si>
  <si>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</si>
  <si>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</si>
  <si>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</si>
  <si>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</si>
  <si>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</si>
  <si>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</si>
  <si>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</si>
  <si>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</si>
  <si>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</si>
  <si>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</si>
  <si>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</si>
  <si>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</si>
  <si>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</si>
  <si>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</si>
  <si>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</si>
  <si>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</si>
  <si>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</si>
  <si>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</si>
  <si>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</si>
  <si>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</si>
  <si>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</si>
  <si>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</si>
  <si>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</si>
  <si>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</si>
  <si>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</si>
  <si>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</si>
  <si>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</si>
  <si>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Rezerva investora (30.000,- Kč)</t>
  </si>
  <si>
    <t>Poznámka k položce:
Uchazeči vyplní částku ve výši 30.000,- Kč - REZERVA ČERPATELNÁ JEN SE SOUHLASEM INVESTORA !!!</t>
  </si>
  <si>
    <t>zátěžové PVC, min. zátěžová třída 42, tl. min 2,4mm , dekor : dub bělený</t>
  </si>
  <si>
    <t>Montáž podlah povlakových z PVC v rolích, celoplošně lepené</t>
  </si>
  <si>
    <t>Přesun hmot pro podlahy povlakové stanovený procentní sazbou (%) z ceny vodorovná dopravní vzdálenost do 50 m v objektech výšky do 6 m</t>
  </si>
  <si>
    <t>Přesun hmot pro podlahy povlakové stanovený procentní sazbou (%) z ceny Příplatek k cenám za zvětšený přesun přes vymezenou největší dopravní vzdálenost do 100 m</t>
  </si>
  <si>
    <t>LED svítidlo nástěnné zrcadlové, 9 W</t>
  </si>
  <si>
    <t>0,75+2,9+3,25</t>
  </si>
  <si>
    <t>6,9*0,15</t>
  </si>
  <si>
    <t>0,607*5 'Přepočtené koeficientem množství</t>
  </si>
  <si>
    <t>0,75*2+2,90*2+3,25*2+8*0,25*2+3*2,0*2</t>
  </si>
  <si>
    <t>3+7</t>
  </si>
  <si>
    <t>0+2</t>
  </si>
  <si>
    <t>0+4</t>
  </si>
  <si>
    <t>0,607*24 'Přepočtené koeficientem množství</t>
  </si>
  <si>
    <t>6+1</t>
  </si>
  <si>
    <t>0,058*5 'Přepočtené koeficientem množství</t>
  </si>
  <si>
    <t>0,058*24 'Přepočtené koeficientem množství</t>
  </si>
  <si>
    <t>(2,4+0,3+1+1+0,55+0,55+0,875+3,25+0,25+0,25+3)*0,31</t>
  </si>
  <si>
    <t>4,16*1,15 'Přepočtené koeficientem množství</t>
  </si>
  <si>
    <t>2,4+0,3+1+1+0,55+0,55+0,875+3,25+0,25+0,25+3</t>
  </si>
  <si>
    <t>13,425*1,1 'Přepočtené koeficientem množství</t>
  </si>
  <si>
    <t>13,425*0,31*1,25 'Přepočtené koeficientem množství</t>
  </si>
  <si>
    <t>REGÁL v m.č. 116 : VÝROBA, DODÁVKA A MONTÁŽ v rozsahu projektu interiéru, výkr.č. D.2.22, základní parametry - š.2680 x hl. 500 mm x v. 2400 mm, materiál LTD lamino (barva bílá a bělený dub -barevná kombinace truhlářského výrobku je zřejmá z výkresu čelního pohledu a z výkresu řezu)</t>
  </si>
  <si>
    <t>KUCHYŇSKÁ LINKA v m.č. 116 : VÝROBA, DODÁVKA A MONTÁŽ v rozsahu projektu interiéru, výkr.č. D.2.23, základní parametry - spodní a horní skříňky, š.3900 x hl. 590/310 mm x v. 1830 mm, materiál LTD lamino (barva bílá a bělený dub - barevná kombinace truhlářského výrobku je zřejmá z výkresu čelního pohledu a z výkresu řezu), kovová dveřní madla, dřez s odkapávačem480x480 mm, hl. 155 mm (nerez), dřezová baterie chrom, výška 196 mm</t>
  </si>
  <si>
    <t>REGÁLOVÝ SYSTÉM v m.č. 114 (PRVEK R2) : VÝROBA, DODÁVKA A MONTÁŽ v rozsahu projektu interiéru, výkr.č. D.2.19, základní parametry R2 - š.900 mm x hl. 600 mm x v. 2400 mm, počet polic 6 ks</t>
  </si>
  <si>
    <t>REGÁLOVÝ SYSTÉM v m.č. 114 (PRVEK R3) : VÝROBA, DODÁVKA A MONTÁŽ v rozsahu projektu interiéru, výkr.č. D.2.19, základní parametry R3 - š.750 mm x hl. 600 mm x v. 2400 mm, počet polic 6 ks</t>
  </si>
  <si>
    <t>REGÁLOVÝ SYSTÉM v m.č. 114 (PRVEK R4) : VÝROBA, DODÁVKA A MONTÁŽ v rozsahu projektu interiéru, výkr.č. D.2.19, základní parametry R4 - š.600 mm x hl. 600 mm x v. 2400 mm, počet polic 6 ks</t>
  </si>
  <si>
    <t>REGÁLOVÝ SYSTÉM v m.č. 114 (PRVEK R7) : VÝROBA, DODÁVKA A MONTÁŽ v rozsahu projektu interiéru, výkr.č. D.2.19, základní parametry R7 - š.1200 mm x hl. 450 mm x v. 2400 mm, počet polic 6 ks</t>
  </si>
  <si>
    <t>REGÁLOVÝ SYSTÉM v m.č. 114 (PRVEK R8) : VÝROBA, DODÁVKA A MONTÁŽ v rozsahu projektu interiéru, výkr.č. D.2.19, základní parametry R8 - š.900 mm x hl. 450 mm x v. 2400 mm, počet polic 6 ks</t>
  </si>
  <si>
    <t>REGÁLOVÝ SYSTÉM v m.č. 114 (PRVEK R11) : VÝROBA, DODÁVKA A MONTÁŽ v rozsahu projektu interiéru, výkr.č. D.2.19, základní parametry R11 - š.1200 mm x hl. 350 mm x v. 900 mm, počet polic 3 ks</t>
  </si>
  <si>
    <t>REGÁLOVÝ SYSTÉM v m.č. 114 (PRVEK R12) : VÝROBA, DODÁVKA A MONTÁŽ v rozsahu projektu interiéru, výkr.č. D.2.19, základní parametry R12 - š.900 mm x hl. 350 mm x v. 900 mm, počet polic 3 ks</t>
  </si>
  <si>
    <t>REGÁLOVÝ SYSTÉM v m.č. 115 (PRVEK R1) : VÝROBA, DODÁVKA A MONTÁŽ v rozsahu projektu interiéru, výkr.č. D.2.20, základní parametry R1 - š.1200 mm x hl. 600 mm x v. 2400 mm, počet polic 6 ks</t>
  </si>
  <si>
    <t>REGÁLOVÝ SYSTÉM v m.č. 115 (PRVEK R2) : VÝROBA, DODÁVKA A MONTÁŽ v rozsahu projektu interiéru, výkr.č. D.2.20, základní parametry R2 - š.900 mm x hl. 600 mm x v. 2400 mm, počet polic 6 ks</t>
  </si>
  <si>
    <t>REGÁLOVÝ SYSTÉM v m.č. 115 (PRVEK R3) : VÝROBA, DODÁVKA A MONTÁŽ v rozsahu projektu interiéru, výkr.č. D.2.20, základní parametry R3 - š.750 mm x hl. 600 mm x v. 2400 mm, počet polic 6 ks</t>
  </si>
  <si>
    <t>REGÁLOVÝ SYSTÉM v m.č. 115 (PRVEK R5) : VÝROBA, DODÁVKA A MONTÁŽ v rozsahu projektu interiéru, výkr.č. D.2.20, základní parametry R5 - š.900 mm x hl. 600 mm x v. 2100 mm, počet polic 5 ks</t>
  </si>
  <si>
    <t>REGÁLOVÝ SYSTÉM v m.č. 115 (PRVEK R6) : VÝROBA, DODÁVKA A MONTÁŽ v rozsahu projektu interiéru, výkr.č. D.2.20, základní parametry R6 - š.750 mm x hl. 600 mm x v. 2100 mm, počet polic 5 ks</t>
  </si>
  <si>
    <t>REGÁLOVÝ SYSTÉM v m.č. 115 (PRVEK R7) : VÝROBA, DODÁVKA A MONTÁŽ v rozsahu projektu interiéru, výkr.č. D.2.20, základní parametry R7 - š.1200 mm x hl. 450 mm x v. 2400 mm, počet polic 6 ks</t>
  </si>
  <si>
    <t>REGÁLOVÝ SYSTÉM v m.č. 115 (PRVEK R8) : VÝROBA, DODÁVKA A MONTÁŽ v rozsahu projektu interiéru, výkr.č. D.2.20, základní parametry R8 - š.900 mm x hl. 450 mm x v. 2400 mm, počet polic 6 ks</t>
  </si>
  <si>
    <t>REGÁLOVÝ SYSTÉM v m.č. 115 (PRVEK R9) : VÝROBA, DODÁVKA A MONTÁŽ v rozsahu projektu interiéru, výkr.č. D.2.20, základní parametry R9 - 1200 mm x hl. 450 mm x v. 900 mm, počet polic 3 ks</t>
  </si>
  <si>
    <t>REGÁLOVÝ SYSTÉM v m.č. 115 (PRVEK R11) : VÝROBA, DODÁVKA A MONTÁŽ v rozsahu projektu interiéru, výkr.č. D.2.20, základní parametry R11 - š.1200 mm x hl. 350 mm x v. 2400 mm, počet polic 6 ks</t>
  </si>
  <si>
    <t xml:space="preserve">    VRN1 - Zařízení staveniště</t>
  </si>
  <si>
    <t xml:space="preserve">    VRN2 - Finanční náklady</t>
  </si>
  <si>
    <t>VRN2</t>
  </si>
  <si>
    <t>18+18</t>
  </si>
  <si>
    <t>6+2</t>
  </si>
  <si>
    <t>44+53</t>
  </si>
  <si>
    <t>29+19</t>
  </si>
  <si>
    <t>5+6</t>
  </si>
  <si>
    <t>3+4</t>
  </si>
  <si>
    <t>14+4</t>
  </si>
  <si>
    <t>OSVĚTLENÍ KUCHYŇSKÉ LINKY : LED pásek, 12W, v liště, DODÁVKA A MONTÁŽ VČ. PŘÍSLUŠENSTVÍ (délka 4,13 m) - m.č. 116</t>
  </si>
  <si>
    <t>3+11</t>
  </si>
  <si>
    <t>0+6</t>
  </si>
  <si>
    <t>"1.NP" 6</t>
  </si>
  <si>
    <t>Montáž výlevkových mís závěsných na nosné stěny</t>
  </si>
  <si>
    <t xml:space="preserve">Poznámka k souboru cen:
1. V cenách -1351, -1361 není započten napájecí zdroj.
2. V cenách jsou započteny mřížky
</t>
  </si>
  <si>
    <t>výlevka keramická, bílá, rozm. 53x42x34 cm včetně mřížky a příslušenství - přesná specifikace viz část PD D.2 - INTERIÉROVÉ ŘEŠENÍ</t>
  </si>
  <si>
    <t>725119128</t>
  </si>
  <si>
    <t>VÝL</t>
  </si>
  <si>
    <t>Sprchové dveře rozm. 130x190 cm, materiál: AL (chrom lesk), sklo: čiré, otevírání: posuvné (ložiskové pojezdy), montáž: na dlažbu - DODÁVKA A MONTÁŽ, přesná specifikace výrobku viz část PD D.2 - INTERIÉROVÉ ŘEŠENÍ</t>
  </si>
  <si>
    <t>Sprchové dveře rozm. 70x190 cm, materiál: AL (chrom lesk), sklo: čiré, otevírání: otočné, montáž: na vaničku - DODÁVKA A MONTÁŽ, přesná specifikace výrobku viz část PD D.2 - INTERIÉROVÉ ŘEŠENÍ</t>
  </si>
  <si>
    <t>3+2</t>
  </si>
  <si>
    <t>1.NP+2.NP</t>
  </si>
  <si>
    <t>"pro napojení ležaté kanalizace DN 150" (4+2,5)*0,5*0,15</t>
  </si>
  <si>
    <t>0,15+0,488</t>
  </si>
  <si>
    <t>(1,0*2+0,65+0,65+0,35+1,40+1,40+1,70)*1,2</t>
  </si>
  <si>
    <t>(1,2+0,60+3,9+,85+2,85+1,5+1,0+0,5*2+0,65+0,15+2,75+1,70+1,40)*1,2</t>
  </si>
  <si>
    <t>viz výkr. Půdorys 1.NP a 2.NP - vodovod + 20 % rezerva</t>
  </si>
  <si>
    <t>viz výkr. Půdorys 1.NP a 2.NP - kanalizace + 20 % rezerva</t>
  </si>
  <si>
    <t xml:space="preserve">"pro napojení ležaté kanalizace" </t>
  </si>
  <si>
    <t>4+2,5+2</t>
  </si>
  <si>
    <t>33,24*0,1+6*0,15</t>
  </si>
  <si>
    <t>2,016*5 'Přepočtené koeficientem množství</t>
  </si>
  <si>
    <t>2,016*24 'Přepočtené koeficientem množství</t>
  </si>
  <si>
    <t>3,5+2,5</t>
  </si>
  <si>
    <t>(0,2*6+1,0+1,0+0,65+0,25+0,5+0,35+0,65+0,2*2+0,35+0,2+0,2*5+1,4+1,7+1,4)*1,2</t>
  </si>
  <si>
    <t>0,5*4</t>
  </si>
  <si>
    <t>1,5+6+14,5+2+4</t>
  </si>
  <si>
    <t>(0,65+1,2+0,5+2,5*2+0,5*4+0,15+0,65+0,5+1,5+0,5+0,45+0,25+0,5)*2*1,2</t>
  </si>
  <si>
    <t>(4,0+1,5+1,0+0,5+0,5+1,0+1,25)*2*1,2</t>
  </si>
  <si>
    <t>33,24+23,40</t>
  </si>
  <si>
    <t>12+14</t>
  </si>
  <si>
    <t>2+2</t>
  </si>
  <si>
    <t>Armatury z plastických hmot kohouty (PPR) kulové DN 25</t>
  </si>
  <si>
    <t>"1.NP" (1,53*2,5)*0,45+(1*2,1)*0,45</t>
  </si>
  <si>
    <t>"2.NP" 0,4*0,56+0,35*2,1+0,2*2,1</t>
  </si>
  <si>
    <t>"2.NP" (0,9)*2,1</t>
  </si>
  <si>
    <t>"PŘ1 - 2 x I č.80" 9*1,2*0,1*0,1</t>
  </si>
  <si>
    <t>"PŘ2 - 2 x I č.80" 3*1,1*0,1*0,1</t>
  </si>
  <si>
    <t>"PŘ1 - 2 x I č.80" 9*(2*1,2)*5,94/1000</t>
  </si>
  <si>
    <t>"PŘ2 - 2 x I č.80" 3*(2*1,1)*5,94/1000</t>
  </si>
  <si>
    <t>3,9*3+2,4*1,40</t>
  </si>
  <si>
    <t>nadezdívky příček u WC   (3,05+0,9+0,9)*0,9</t>
  </si>
  <si>
    <t>(3,9+2*3,92+1,6)*2,67</t>
  </si>
  <si>
    <t>3,9+2*3,92+1,6</t>
  </si>
  <si>
    <t>3,90+2,40+3,05+0,9+0,9</t>
  </si>
  <si>
    <t>"2.NP" 7*2,67</t>
  </si>
  <si>
    <t>"1.NP" 2*3+2*1,4+3*0,9</t>
  </si>
  <si>
    <t>2*(9*1,2+3*1,1)*0,2</t>
  </si>
  <si>
    <t>2,55+20,75+6,59+3,18+15,99+15,46+21,38+10,91+10,29</t>
  </si>
  <si>
    <t>9,36+30,05+11,31+7,06+7,06+8,39+8,56+8,56+8,39+13,14+9,09+8,54+12,90+16,53+16,66</t>
  </si>
  <si>
    <t>"pro poz D07 (P+L)" 3+2</t>
  </si>
  <si>
    <t>"pro poz D06 (P+L)" 1+2</t>
  </si>
  <si>
    <t>"pro poz D04 (P+L)" 1+3</t>
  </si>
  <si>
    <t>"pro poz D05 (P+L)" 8+5</t>
  </si>
  <si>
    <t>"pro poz D03 (L)" 1</t>
  </si>
  <si>
    <t>55331437</t>
  </si>
  <si>
    <t>"pro poz D08 (L)" 1</t>
  </si>
  <si>
    <t>zárubeň jednokřídlá ocelová pro dodatečnou montáž tl stěny 75-100mm rozměru 900/1400</t>
  </si>
  <si>
    <t>2,55+5,07+5,07+20,75+6,59+3,16+1,36+5,17+1,22+1,32+6,93+3,14+15,99+15,46+21,38+10,91+10,29+21,25+16,88</t>
  </si>
  <si>
    <t>9,36+30,05+11,31+7,06+7,06+2,84+8,39+2,77+8,56+8,56+8,39+13,14+9,09+8,54+12,90+16,53+16,66</t>
  </si>
  <si>
    <t>2,70*3+(2,08+1,09)*2,1-3*0,6*1,97</t>
  </si>
  <si>
    <t>"vrata rozm. 1530x2,5 mm" 1*(1,53*2,5)</t>
  </si>
  <si>
    <t>(5*0,7+7*0,9+8*1,0)*2,05</t>
  </si>
  <si>
    <t>8*(0,88*2,05)</t>
  </si>
  <si>
    <t>0,78*2,1</t>
  </si>
  <si>
    <t>6*0,88*2,1+0,335*2,1+0,78*2,1</t>
  </si>
  <si>
    <t>71,596*5 'Přepočtené koeficientem množství</t>
  </si>
  <si>
    <t>71,596*24 'Přepočtené koeficientem množství</t>
  </si>
  <si>
    <t>5,07+5,07+1,36+5,17+1,22+1,32+3,14</t>
  </si>
  <si>
    <t>2,84+2,77</t>
  </si>
  <si>
    <t>4+10,37</t>
  </si>
  <si>
    <t>14,37*1,1 'Přepočtené koeficientem množství</t>
  </si>
  <si>
    <t>611-D04-P</t>
  </si>
  <si>
    <t>611-D04-L</t>
  </si>
  <si>
    <t>"na poz. D09 - ponechat zárubeň" 2*1</t>
  </si>
  <si>
    <t>"na poz. D121 - ponechat zárubeň" 2*1</t>
  </si>
  <si>
    <t>5,07+5,07+1,36+5,17+1,22+1,32+6,93+3,14</t>
  </si>
  <si>
    <t>12,00+8,68</t>
  </si>
  <si>
    <t>34,89*1,25 'Přepočtené koeficientem množství</t>
  </si>
  <si>
    <t>1,36+1,22+1,32+3,14</t>
  </si>
  <si>
    <t>34,89-5,17-6,93</t>
  </si>
  <si>
    <t>4+4+4+4+4+2+4+4</t>
  </si>
  <si>
    <t>4+4</t>
  </si>
  <si>
    <t>10,40*2+4,67+,52+4,74+8,68</t>
  </si>
  <si>
    <t>7,24+6,80</t>
  </si>
  <si>
    <t>9,36+30,05+11,31+7,06+7,06+8,39+8,56+8,56+8,39+13,14+9,09+8,5412,90+16,53+16,66</t>
  </si>
  <si>
    <t>269,801*1,2 'Přepočtené koeficientem množství</t>
  </si>
  <si>
    <t>6,45+31,58+10,29+19,12+16+15,9+18,96+13,87+13,96</t>
  </si>
  <si>
    <t>12,60+43,44+13,60+11,44+11,44+12,12+12,19+12,19+12,12+14,54+12,48+12,18+14,42+16,28+16,34</t>
  </si>
  <si>
    <t>373,51*1,1 'Přepočtené koeficientem množství</t>
  </si>
  <si>
    <t>"1.NP" 4*1</t>
  </si>
  <si>
    <t>"2.NP" 2*1</t>
  </si>
  <si>
    <t>(1,14+1,2+0,3)*1,5</t>
  </si>
  <si>
    <t>(1,37+0,89)*2*1,5-0,78*1,5</t>
  </si>
  <si>
    <t>(1,48+0,89)*2*1,5-0,78*1,5</t>
  </si>
  <si>
    <t>(0,99+0,85+0,925)*1,5</t>
  </si>
  <si>
    <t>((3,1*2+1,3)*1,5+(0,8*2+1,3)*2,1)*2-0,88*1,5-0,78*1,5-2*0,9*0,45</t>
  </si>
  <si>
    <t>(2,02+1,6)*2*2,1-0,88*2,01</t>
  </si>
  <si>
    <t>(1,8+1,6)*2*2,1-0,78*2,01-0,9*1,2</t>
  </si>
  <si>
    <t>76,105*1,25 'Přepočtené koeficientem množství</t>
  </si>
  <si>
    <t>10,40+10,40+4,672+12,00+4,52+4,74+11,60+8,68</t>
  </si>
  <si>
    <t>2+2+1+1+2+2+2+1+1+2+2+2</t>
  </si>
  <si>
    <t>2+1+1+2+2+2+2</t>
  </si>
  <si>
    <t>"PŘ1 - 2 x I č.80" 9*(2*1,2)*0,304</t>
  </si>
  <si>
    <t>"PŘ42 - 2 x I č.80" 3*(2*1,1)*0,304</t>
  </si>
  <si>
    <t>Očištění a nátěr nových zárubní rozm. 90/140 cm</t>
  </si>
  <si>
    <t>podlahová plocha</t>
  </si>
  <si>
    <t>174,50+181,20</t>
  </si>
  <si>
    <t>355,70*1,05 'Přepočtené koeficientem množství</t>
  </si>
  <si>
    <t>"SDK podhledy"</t>
  </si>
  <si>
    <t xml:space="preserve">"omítky"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</si>
</sst>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1" fillId="3"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xf>
    <xf numFmtId="0" fontId="2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1" fillId="3" borderId="0" xfId="0" applyFont="1" applyFill="1" applyAlignment="1">
      <alignment horizontal="left" vertical="center"/>
    </xf>
    <xf numFmtId="0" fontId="21"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0" borderId="18" xfId="0" applyFont="1" applyBorder="1" applyAlignment="1">
      <alignment horizontal="left" vertical="center"/>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4"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0" borderId="18" xfId="0" applyFont="1" applyBorder="1" applyAlignment="1">
      <alignment horizontal="left" vertical="center"/>
    </xf>
    <xf numFmtId="0" fontId="35"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32" fillId="0" borderId="0" xfId="0" applyFont="1" applyAlignment="1">
      <alignment vertical="center" wrapText="1"/>
    </xf>
    <xf numFmtId="0" fontId="32" fillId="0" borderId="0" xfId="0" applyFont="1" applyAlignment="1">
      <alignment vertical="center"/>
    </xf>
    <xf numFmtId="4" fontId="8" fillId="0" borderId="20" xfId="0" applyNumberFormat="1" applyFont="1" applyFill="1" applyBorder="1" applyAlignment="1">
      <alignment vertical="center"/>
    </xf>
    <xf numFmtId="0" fontId="0" fillId="0" borderId="0" xfId="0" applyFont="1" applyAlignment="1">
      <alignment vertical="center"/>
    </xf>
    <xf numFmtId="4" fontId="21" fillId="0" borderId="22" xfId="0" applyNumberFormat="1" applyFont="1" applyFill="1" applyBorder="1" applyAlignment="1" applyProtection="1">
      <alignment vertical="center"/>
      <protection locked="0"/>
    </xf>
    <xf numFmtId="0" fontId="0" fillId="0" borderId="0" xfId="0" applyFont="1" applyFill="1" applyAlignment="1">
      <alignment vertical="center"/>
    </xf>
    <xf numFmtId="0" fontId="11" fillId="0" borderId="0" xfId="0" applyFont="1" applyFill="1" applyAlignment="1">
      <alignment vertical="center"/>
    </xf>
    <xf numFmtId="4" fontId="35" fillId="0" borderId="22" xfId="0" applyNumberFormat="1" applyFont="1" applyFill="1" applyBorder="1" applyAlignment="1" applyProtection="1">
      <alignment vertical="center"/>
      <protection locked="0"/>
    </xf>
    <xf numFmtId="0" fontId="10"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9" fillId="0" borderId="0" xfId="0" applyFont="1" applyFill="1" applyAlignment="1">
      <alignment/>
    </xf>
    <xf numFmtId="0" fontId="21" fillId="0" borderId="22" xfId="0" applyFont="1" applyFill="1" applyBorder="1" applyAlignment="1" applyProtection="1">
      <alignment horizontal="center" vertical="center"/>
      <protection locked="0"/>
    </xf>
    <xf numFmtId="49" fontId="21" fillId="0" borderId="22" xfId="0" applyNumberFormat="1"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center" vertical="center" wrapText="1"/>
      <protection locked="0"/>
    </xf>
    <xf numFmtId="167" fontId="21" fillId="0" borderId="22" xfId="0" applyNumberFormat="1" applyFont="1" applyFill="1" applyBorder="1" applyAlignment="1" applyProtection="1">
      <alignment vertical="center"/>
      <protection locked="0"/>
    </xf>
    <xf numFmtId="0" fontId="35" fillId="0" borderId="22" xfId="0"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left" vertical="center" wrapText="1"/>
      <protection locked="0"/>
    </xf>
    <xf numFmtId="0" fontId="35" fillId="0" borderId="22" xfId="0" applyFont="1" applyFill="1" applyBorder="1" applyAlignment="1" applyProtection="1">
      <alignment horizontal="left" vertical="center" wrapText="1"/>
      <protection locked="0"/>
    </xf>
    <xf numFmtId="0" fontId="35" fillId="0" borderId="22" xfId="0" applyFont="1" applyFill="1" applyBorder="1" applyAlignment="1" applyProtection="1">
      <alignment horizontal="center" vertical="center" wrapText="1"/>
      <protection locked="0"/>
    </xf>
    <xf numFmtId="167" fontId="35" fillId="0" borderId="22" xfId="0" applyNumberFormat="1" applyFont="1" applyFill="1" applyBorder="1" applyAlignment="1" applyProtection="1">
      <alignment vertical="center"/>
      <protection locked="0"/>
    </xf>
    <xf numFmtId="0" fontId="33" fillId="0" borderId="0" xfId="0" applyFont="1" applyFill="1" applyAlignment="1">
      <alignment horizontal="left" vertical="center"/>
    </xf>
    <xf numFmtId="0" fontId="34" fillId="0" borderId="0" xfId="0" applyFont="1" applyFill="1" applyAlignment="1">
      <alignment vertical="center" wrapText="1"/>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167" fontId="11" fillId="0" borderId="0" xfId="0" applyNumberFormat="1" applyFont="1" applyAlignment="1">
      <alignment horizontal="left" vertical="center" wrapText="1"/>
    </xf>
    <xf numFmtId="0" fontId="15" fillId="4"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8"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21" fillId="3" borderId="6"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7" xfId="0" applyFont="1" applyFill="1" applyBorder="1" applyAlignment="1">
      <alignment horizontal="center" vertical="center"/>
    </xf>
    <xf numFmtId="0" fontId="21" fillId="3" borderId="7" xfId="0" applyFont="1" applyFill="1" applyBorder="1" applyAlignment="1">
      <alignment horizontal="righ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Border="1" applyAlignment="1">
      <alignment horizontal="left" vertical="center" wrapText="1"/>
    </xf>
    <xf numFmtId="0" fontId="38" fillId="0" borderId="0" xfId="0" applyFont="1" applyBorder="1" applyAlignment="1">
      <alignment horizontal="center" vertical="center" wrapText="1"/>
    </xf>
    <xf numFmtId="0" fontId="39" fillId="0" borderId="29" xfId="0" applyFont="1" applyBorder="1" applyAlignment="1">
      <alignment horizontal="left" wrapText="1"/>
    </xf>
    <xf numFmtId="0" fontId="38"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39"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3"/>
  <sheetViews>
    <sheetView showGridLines="0" tabSelected="1" view="pageBreakPreview" zoomScale="60" workbookViewId="0" topLeftCell="A1">
      <selection activeCell="BE43" sqref="BE4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01" t="s">
        <v>6</v>
      </c>
      <c r="AS2" s="302"/>
      <c r="AT2" s="302"/>
      <c r="AU2" s="302"/>
      <c r="AV2" s="302"/>
      <c r="AW2" s="302"/>
      <c r="AX2" s="302"/>
      <c r="AY2" s="302"/>
      <c r="AZ2" s="302"/>
      <c r="BA2" s="302"/>
      <c r="BB2" s="302"/>
      <c r="BC2" s="302"/>
      <c r="BD2" s="302"/>
      <c r="BE2" s="302"/>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S4" s="19" t="s">
        <v>12</v>
      </c>
    </row>
    <row r="5" spans="2:71" s="1" customFormat="1" ht="12" customHeight="1">
      <c r="B5" s="22"/>
      <c r="D5" s="25" t="s">
        <v>13</v>
      </c>
      <c r="K5" s="310" t="s">
        <v>14</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R5" s="22"/>
      <c r="BS5" s="19" t="s">
        <v>7</v>
      </c>
    </row>
    <row r="6" spans="2:71" s="1" customFormat="1" ht="36.95" customHeight="1">
      <c r="B6" s="22"/>
      <c r="D6" s="27" t="s">
        <v>15</v>
      </c>
      <c r="K6" s="311" t="s">
        <v>16</v>
      </c>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R6" s="22"/>
      <c r="BS6" s="19" t="s">
        <v>7</v>
      </c>
    </row>
    <row r="7" spans="2:71" s="1" customFormat="1" ht="12" customHeight="1">
      <c r="B7" s="22"/>
      <c r="D7" s="28" t="s">
        <v>17</v>
      </c>
      <c r="K7" s="26" t="s">
        <v>18</v>
      </c>
      <c r="AK7" s="28" t="s">
        <v>19</v>
      </c>
      <c r="AN7" s="26" t="s">
        <v>20</v>
      </c>
      <c r="AR7" s="22"/>
      <c r="BS7" s="19" t="s">
        <v>7</v>
      </c>
    </row>
    <row r="8" spans="2:71" s="1" customFormat="1" ht="12" customHeight="1">
      <c r="B8" s="22"/>
      <c r="D8" s="28" t="s">
        <v>21</v>
      </c>
      <c r="K8" s="26" t="s">
        <v>22</v>
      </c>
      <c r="AK8" s="28" t="s">
        <v>23</v>
      </c>
      <c r="AN8" s="26" t="s">
        <v>24</v>
      </c>
      <c r="AR8" s="22"/>
      <c r="BS8" s="19" t="s">
        <v>7</v>
      </c>
    </row>
    <row r="9" spans="2:71" s="1" customFormat="1" ht="14.45" customHeight="1">
      <c r="B9" s="22"/>
      <c r="AR9" s="22"/>
      <c r="BS9" s="19" t="s">
        <v>7</v>
      </c>
    </row>
    <row r="10" spans="2:71" s="1" customFormat="1" ht="12" customHeight="1">
      <c r="B10" s="22"/>
      <c r="D10" s="28" t="s">
        <v>25</v>
      </c>
      <c r="AK10" s="28" t="s">
        <v>26</v>
      </c>
      <c r="AN10" s="26" t="s">
        <v>27</v>
      </c>
      <c r="AR10" s="22"/>
      <c r="BS10" s="19" t="s">
        <v>7</v>
      </c>
    </row>
    <row r="11" spans="2:71" s="1" customFormat="1" ht="18.4" customHeight="1">
      <c r="B11" s="22"/>
      <c r="E11" s="26" t="s">
        <v>28</v>
      </c>
      <c r="AK11" s="28" t="s">
        <v>29</v>
      </c>
      <c r="AN11" s="26" t="s">
        <v>30</v>
      </c>
      <c r="AR11" s="22"/>
      <c r="BS11" s="19" t="s">
        <v>7</v>
      </c>
    </row>
    <row r="12" spans="2:71" s="1" customFormat="1" ht="6.95" customHeight="1">
      <c r="B12" s="22"/>
      <c r="AR12" s="22"/>
      <c r="BS12" s="19" t="s">
        <v>7</v>
      </c>
    </row>
    <row r="13" spans="2:71" s="1" customFormat="1" ht="12" customHeight="1">
      <c r="B13" s="22"/>
      <c r="D13" s="28" t="s">
        <v>31</v>
      </c>
      <c r="AK13" s="28" t="s">
        <v>26</v>
      </c>
      <c r="AN13" s="26" t="s">
        <v>3</v>
      </c>
      <c r="AR13" s="22"/>
      <c r="BS13" s="19" t="s">
        <v>7</v>
      </c>
    </row>
    <row r="14" spans="2:71" ht="12.75">
      <c r="B14" s="22"/>
      <c r="E14" s="26" t="s">
        <v>32</v>
      </c>
      <c r="AK14" s="28" t="s">
        <v>29</v>
      </c>
      <c r="AN14" s="26" t="s">
        <v>3</v>
      </c>
      <c r="AR14" s="22"/>
      <c r="BS14" s="19" t="s">
        <v>7</v>
      </c>
    </row>
    <row r="15" spans="2:71" s="1" customFormat="1" ht="6.95" customHeight="1">
      <c r="B15" s="22"/>
      <c r="AR15" s="22"/>
      <c r="BS15" s="19" t="s">
        <v>4</v>
      </c>
    </row>
    <row r="16" spans="2:71" s="1" customFormat="1" ht="12" customHeight="1">
      <c r="B16" s="22"/>
      <c r="D16" s="28" t="s">
        <v>33</v>
      </c>
      <c r="AK16" s="28" t="s">
        <v>26</v>
      </c>
      <c r="AN16" s="26" t="s">
        <v>34</v>
      </c>
      <c r="AR16" s="22"/>
      <c r="BS16" s="19" t="s">
        <v>4</v>
      </c>
    </row>
    <row r="17" spans="2:71" s="1" customFormat="1" ht="18.4" customHeight="1">
      <c r="B17" s="22"/>
      <c r="E17" s="26" t="s">
        <v>35</v>
      </c>
      <c r="AK17" s="28" t="s">
        <v>29</v>
      </c>
      <c r="AN17" s="26" t="s">
        <v>36</v>
      </c>
      <c r="AR17" s="22"/>
      <c r="BS17" s="19" t="s">
        <v>37</v>
      </c>
    </row>
    <row r="18" spans="2:71" s="1" customFormat="1" ht="6.95" customHeight="1">
      <c r="B18" s="22"/>
      <c r="AR18" s="22"/>
      <c r="BS18" s="19" t="s">
        <v>7</v>
      </c>
    </row>
    <row r="19" spans="2:71" s="1" customFormat="1" ht="12" customHeight="1">
      <c r="B19" s="22"/>
      <c r="D19" s="28" t="s">
        <v>38</v>
      </c>
      <c r="AK19" s="28" t="s">
        <v>26</v>
      </c>
      <c r="AN19" s="26" t="s">
        <v>3</v>
      </c>
      <c r="AR19" s="22"/>
      <c r="BS19" s="19" t="s">
        <v>7</v>
      </c>
    </row>
    <row r="20" spans="2:71" s="1" customFormat="1" ht="18.4" customHeight="1">
      <c r="B20" s="22"/>
      <c r="E20" s="26" t="s">
        <v>32</v>
      </c>
      <c r="AK20" s="28" t="s">
        <v>29</v>
      </c>
      <c r="AN20" s="26" t="s">
        <v>3</v>
      </c>
      <c r="AR20" s="22"/>
      <c r="BS20" s="19" t="s">
        <v>4</v>
      </c>
    </row>
    <row r="21" spans="2:44" s="1" customFormat="1" ht="6.95" customHeight="1">
      <c r="B21" s="22"/>
      <c r="AR21" s="22"/>
    </row>
    <row r="22" spans="2:44" s="1" customFormat="1" ht="12" customHeight="1">
      <c r="B22" s="22"/>
      <c r="D22" s="28" t="s">
        <v>39</v>
      </c>
      <c r="AR22" s="22"/>
    </row>
    <row r="23" spans="2:44" s="1" customFormat="1" ht="47.25" customHeight="1">
      <c r="B23" s="22"/>
      <c r="E23" s="312" t="s">
        <v>40</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R23" s="22"/>
    </row>
    <row r="24" spans="2:44" s="1" customFormat="1" ht="6.95" customHeight="1">
      <c r="B24" s="22"/>
      <c r="AR24" s="22"/>
    </row>
    <row r="25" spans="2:44" s="1" customFormat="1" ht="6.95" customHeight="1">
      <c r="B25" s="22"/>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22"/>
    </row>
    <row r="26" spans="1:57" s="2" customFormat="1" ht="25.9" customHeight="1">
      <c r="A26" s="31"/>
      <c r="B26" s="32"/>
      <c r="C26" s="31"/>
      <c r="D26" s="33" t="s">
        <v>41</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13">
        <f>ROUND(AG54,2)</f>
        <v>0</v>
      </c>
      <c r="AL26" s="314"/>
      <c r="AM26" s="314"/>
      <c r="AN26" s="314"/>
      <c r="AO26" s="314"/>
      <c r="AP26" s="31"/>
      <c r="AQ26" s="31"/>
      <c r="AR26" s="32"/>
      <c r="BE26" s="31"/>
    </row>
    <row r="27" spans="1:57" s="2" customFormat="1" ht="6.95"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E27" s="31"/>
    </row>
    <row r="28" spans="1:57" s="2" customFormat="1" ht="12.75">
      <c r="A28" s="31"/>
      <c r="B28" s="32"/>
      <c r="C28" s="31"/>
      <c r="D28" s="31"/>
      <c r="E28" s="31"/>
      <c r="F28" s="31"/>
      <c r="G28" s="31"/>
      <c r="H28" s="31"/>
      <c r="I28" s="31"/>
      <c r="J28" s="31"/>
      <c r="K28" s="31"/>
      <c r="L28" s="315" t="s">
        <v>42</v>
      </c>
      <c r="M28" s="315"/>
      <c r="N28" s="315"/>
      <c r="O28" s="315"/>
      <c r="P28" s="315"/>
      <c r="Q28" s="31"/>
      <c r="R28" s="31"/>
      <c r="S28" s="31"/>
      <c r="T28" s="31"/>
      <c r="U28" s="31"/>
      <c r="V28" s="31"/>
      <c r="W28" s="315" t="s">
        <v>43</v>
      </c>
      <c r="X28" s="315"/>
      <c r="Y28" s="315"/>
      <c r="Z28" s="315"/>
      <c r="AA28" s="315"/>
      <c r="AB28" s="315"/>
      <c r="AC28" s="315"/>
      <c r="AD28" s="315"/>
      <c r="AE28" s="315"/>
      <c r="AF28" s="31"/>
      <c r="AG28" s="31"/>
      <c r="AH28" s="31"/>
      <c r="AI28" s="31"/>
      <c r="AJ28" s="31"/>
      <c r="AK28" s="315" t="s">
        <v>44</v>
      </c>
      <c r="AL28" s="315"/>
      <c r="AM28" s="315"/>
      <c r="AN28" s="315"/>
      <c r="AO28" s="315"/>
      <c r="AP28" s="31"/>
      <c r="AQ28" s="31"/>
      <c r="AR28" s="32"/>
      <c r="BE28" s="31"/>
    </row>
    <row r="29" spans="2:44" s="3" customFormat="1" ht="14.45" customHeight="1">
      <c r="B29" s="36"/>
      <c r="D29" s="28" t="s">
        <v>45</v>
      </c>
      <c r="F29" s="28" t="s">
        <v>46</v>
      </c>
      <c r="L29" s="303">
        <v>0.21</v>
      </c>
      <c r="M29" s="304"/>
      <c r="N29" s="304"/>
      <c r="O29" s="304"/>
      <c r="P29" s="304"/>
      <c r="W29" s="305">
        <f>ROUND(AZ54,2)</f>
        <v>0</v>
      </c>
      <c r="X29" s="304"/>
      <c r="Y29" s="304"/>
      <c r="Z29" s="304"/>
      <c r="AA29" s="304"/>
      <c r="AB29" s="304"/>
      <c r="AC29" s="304"/>
      <c r="AD29" s="304"/>
      <c r="AE29" s="304"/>
      <c r="AK29" s="305">
        <f>ROUND(AV54,2)</f>
        <v>0</v>
      </c>
      <c r="AL29" s="304"/>
      <c r="AM29" s="304"/>
      <c r="AN29" s="304"/>
      <c r="AO29" s="304"/>
      <c r="AR29" s="36"/>
    </row>
    <row r="30" spans="2:44" s="3" customFormat="1" ht="14.45" customHeight="1">
      <c r="B30" s="36"/>
      <c r="F30" s="28" t="s">
        <v>47</v>
      </c>
      <c r="L30" s="303">
        <v>0.15</v>
      </c>
      <c r="M30" s="304"/>
      <c r="N30" s="304"/>
      <c r="O30" s="304"/>
      <c r="P30" s="304"/>
      <c r="W30" s="305">
        <f>ROUND(BA54,2)</f>
        <v>0</v>
      </c>
      <c r="X30" s="304"/>
      <c r="Y30" s="304"/>
      <c r="Z30" s="304"/>
      <c r="AA30" s="304"/>
      <c r="AB30" s="304"/>
      <c r="AC30" s="304"/>
      <c r="AD30" s="304"/>
      <c r="AE30" s="304"/>
      <c r="AK30" s="305">
        <f>ROUND(AW54,2)</f>
        <v>0</v>
      </c>
      <c r="AL30" s="304"/>
      <c r="AM30" s="304"/>
      <c r="AN30" s="304"/>
      <c r="AO30" s="304"/>
      <c r="AR30" s="36"/>
    </row>
    <row r="31" spans="2:44" s="3" customFormat="1" ht="14.45" customHeight="1" hidden="1">
      <c r="B31" s="36"/>
      <c r="F31" s="28" t="s">
        <v>48</v>
      </c>
      <c r="L31" s="303">
        <v>0.21</v>
      </c>
      <c r="M31" s="304"/>
      <c r="N31" s="304"/>
      <c r="O31" s="304"/>
      <c r="P31" s="304"/>
      <c r="W31" s="305">
        <f>ROUND(BB54,2)</f>
        <v>0</v>
      </c>
      <c r="X31" s="304"/>
      <c r="Y31" s="304"/>
      <c r="Z31" s="304"/>
      <c r="AA31" s="304"/>
      <c r="AB31" s="304"/>
      <c r="AC31" s="304"/>
      <c r="AD31" s="304"/>
      <c r="AE31" s="304"/>
      <c r="AK31" s="305">
        <v>0</v>
      </c>
      <c r="AL31" s="304"/>
      <c r="AM31" s="304"/>
      <c r="AN31" s="304"/>
      <c r="AO31" s="304"/>
      <c r="AR31" s="36"/>
    </row>
    <row r="32" spans="2:44" s="3" customFormat="1" ht="14.45" customHeight="1" hidden="1">
      <c r="B32" s="36"/>
      <c r="F32" s="28" t="s">
        <v>49</v>
      </c>
      <c r="L32" s="303">
        <v>0.15</v>
      </c>
      <c r="M32" s="304"/>
      <c r="N32" s="304"/>
      <c r="O32" s="304"/>
      <c r="P32" s="304"/>
      <c r="W32" s="305">
        <f>ROUND(BC54,2)</f>
        <v>0</v>
      </c>
      <c r="X32" s="304"/>
      <c r="Y32" s="304"/>
      <c r="Z32" s="304"/>
      <c r="AA32" s="304"/>
      <c r="AB32" s="304"/>
      <c r="AC32" s="304"/>
      <c r="AD32" s="304"/>
      <c r="AE32" s="304"/>
      <c r="AK32" s="305">
        <v>0</v>
      </c>
      <c r="AL32" s="304"/>
      <c r="AM32" s="304"/>
      <c r="AN32" s="304"/>
      <c r="AO32" s="304"/>
      <c r="AR32" s="36"/>
    </row>
    <row r="33" spans="2:44" s="3" customFormat="1" ht="14.45" customHeight="1" hidden="1">
      <c r="B33" s="36"/>
      <c r="F33" s="28" t="s">
        <v>50</v>
      </c>
      <c r="L33" s="303">
        <v>0</v>
      </c>
      <c r="M33" s="304"/>
      <c r="N33" s="304"/>
      <c r="O33" s="304"/>
      <c r="P33" s="304"/>
      <c r="W33" s="305">
        <f>ROUND(BD54,2)</f>
        <v>0</v>
      </c>
      <c r="X33" s="304"/>
      <c r="Y33" s="304"/>
      <c r="Z33" s="304"/>
      <c r="AA33" s="304"/>
      <c r="AB33" s="304"/>
      <c r="AC33" s="304"/>
      <c r="AD33" s="304"/>
      <c r="AE33" s="304"/>
      <c r="AK33" s="305">
        <v>0</v>
      </c>
      <c r="AL33" s="304"/>
      <c r="AM33" s="304"/>
      <c r="AN33" s="304"/>
      <c r="AO33" s="304"/>
      <c r="AR33" s="36"/>
    </row>
    <row r="34" spans="1:57" s="2" customFormat="1" ht="6.95"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E34" s="31"/>
    </row>
    <row r="35" spans="1:57" s="2" customFormat="1" ht="25.9" customHeight="1">
      <c r="A35" s="31"/>
      <c r="B35" s="32"/>
      <c r="C35" s="37"/>
      <c r="D35" s="38" t="s">
        <v>51</v>
      </c>
      <c r="E35" s="39"/>
      <c r="F35" s="39"/>
      <c r="G35" s="39"/>
      <c r="H35" s="39"/>
      <c r="I35" s="39"/>
      <c r="J35" s="39"/>
      <c r="K35" s="39"/>
      <c r="L35" s="39"/>
      <c r="M35" s="39"/>
      <c r="N35" s="39"/>
      <c r="O35" s="39"/>
      <c r="P35" s="39"/>
      <c r="Q35" s="39"/>
      <c r="R35" s="39"/>
      <c r="S35" s="39"/>
      <c r="T35" s="40" t="s">
        <v>52</v>
      </c>
      <c r="U35" s="39"/>
      <c r="V35" s="39"/>
      <c r="W35" s="39"/>
      <c r="X35" s="309" t="s">
        <v>53</v>
      </c>
      <c r="Y35" s="307"/>
      <c r="Z35" s="307"/>
      <c r="AA35" s="307"/>
      <c r="AB35" s="307"/>
      <c r="AC35" s="39"/>
      <c r="AD35" s="39"/>
      <c r="AE35" s="39"/>
      <c r="AF35" s="39"/>
      <c r="AG35" s="39"/>
      <c r="AH35" s="39"/>
      <c r="AI35" s="39"/>
      <c r="AJ35" s="39"/>
      <c r="AK35" s="306">
        <f>SUM(AK26:AK33)</f>
        <v>0</v>
      </c>
      <c r="AL35" s="307"/>
      <c r="AM35" s="307"/>
      <c r="AN35" s="307"/>
      <c r="AO35" s="308"/>
      <c r="AP35" s="37"/>
      <c r="AQ35" s="37"/>
      <c r="AR35" s="32"/>
      <c r="BE35" s="31"/>
    </row>
    <row r="36" spans="1:57" s="2" customFormat="1" ht="6.95"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E36" s="31"/>
    </row>
    <row r="37" spans="1:57" s="2" customFormat="1" ht="6.95" customHeight="1">
      <c r="A37" s="3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c r="BE37" s="31"/>
    </row>
    <row r="41" spans="1:57" s="2" customFormat="1" ht="6.95" customHeight="1">
      <c r="A41" s="3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c r="BE41" s="31"/>
    </row>
    <row r="42" spans="1:57" s="2" customFormat="1" ht="24.95" customHeight="1">
      <c r="A42" s="31"/>
      <c r="B42" s="32"/>
      <c r="C42" s="23" t="s">
        <v>54</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2"/>
      <c r="BE42" s="31"/>
    </row>
    <row r="43" spans="1:57" s="2" customFormat="1" ht="6.95" customHeight="1">
      <c r="A43" s="31"/>
      <c r="B43" s="32"/>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2"/>
      <c r="BE43" s="31"/>
    </row>
    <row r="44" spans="2:44" s="4" customFormat="1" ht="12" customHeight="1">
      <c r="B44" s="45"/>
      <c r="C44" s="28" t="s">
        <v>13</v>
      </c>
      <c r="L44" s="4" t="str">
        <f>K5</f>
        <v>OST-2020008</v>
      </c>
      <c r="AR44" s="45"/>
    </row>
    <row r="45" spans="2:44" s="5" customFormat="1" ht="36.95" customHeight="1">
      <c r="B45" s="46"/>
      <c r="C45" s="47" t="s">
        <v>15</v>
      </c>
      <c r="L45" s="325" t="str">
        <f>K6</f>
        <v>Rekonstrukce lékařských pokojů, skladových a technických prostor Nemocnice Nymburk s.r.o.</v>
      </c>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R45" s="46"/>
    </row>
    <row r="46" spans="1:57" s="2" customFormat="1" ht="6.95" customHeight="1">
      <c r="A46" s="31"/>
      <c r="B46" s="32"/>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2"/>
      <c r="BE46" s="31"/>
    </row>
    <row r="47" spans="1:57" s="2" customFormat="1" ht="12" customHeight="1">
      <c r="A47" s="31"/>
      <c r="B47" s="32"/>
      <c r="C47" s="28" t="s">
        <v>21</v>
      </c>
      <c r="D47" s="31"/>
      <c r="E47" s="31"/>
      <c r="F47" s="31"/>
      <c r="G47" s="31"/>
      <c r="H47" s="31"/>
      <c r="I47" s="31"/>
      <c r="J47" s="31"/>
      <c r="K47" s="31"/>
      <c r="L47" s="48" t="str">
        <f>IF(K8="","",K8)</f>
        <v>Nymburk</v>
      </c>
      <c r="M47" s="31"/>
      <c r="N47" s="31"/>
      <c r="O47" s="31"/>
      <c r="P47" s="31"/>
      <c r="Q47" s="31"/>
      <c r="R47" s="31"/>
      <c r="S47" s="31"/>
      <c r="T47" s="31"/>
      <c r="U47" s="31"/>
      <c r="V47" s="31"/>
      <c r="W47" s="31"/>
      <c r="X47" s="31"/>
      <c r="Y47" s="31"/>
      <c r="Z47" s="31"/>
      <c r="AA47" s="31"/>
      <c r="AB47" s="31"/>
      <c r="AC47" s="31"/>
      <c r="AD47" s="31"/>
      <c r="AE47" s="31"/>
      <c r="AF47" s="31"/>
      <c r="AG47" s="31"/>
      <c r="AH47" s="31"/>
      <c r="AI47" s="28" t="s">
        <v>23</v>
      </c>
      <c r="AJ47" s="31"/>
      <c r="AK47" s="31"/>
      <c r="AL47" s="31"/>
      <c r="AM47" s="327" t="str">
        <f>IF(AN8="","",AN8)</f>
        <v>1. 9. 2020</v>
      </c>
      <c r="AN47" s="327"/>
      <c r="AO47" s="31"/>
      <c r="AP47" s="31"/>
      <c r="AQ47" s="31"/>
      <c r="AR47" s="32"/>
      <c r="BE47" s="31"/>
    </row>
    <row r="48" spans="1:57" s="2" customFormat="1" ht="6.95" customHeight="1">
      <c r="A48" s="31"/>
      <c r="B48" s="32"/>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2"/>
      <c r="BE48" s="31"/>
    </row>
    <row r="49" spans="1:57" s="2" customFormat="1" ht="15.2" customHeight="1">
      <c r="A49" s="31"/>
      <c r="B49" s="32"/>
      <c r="C49" s="28" t="s">
        <v>25</v>
      </c>
      <c r="D49" s="31"/>
      <c r="E49" s="31"/>
      <c r="F49" s="31"/>
      <c r="G49" s="31"/>
      <c r="H49" s="31"/>
      <c r="I49" s="31"/>
      <c r="J49" s="31"/>
      <c r="K49" s="31"/>
      <c r="L49" s="4" t="str">
        <f>IF(E11="","",E11)</f>
        <v>Nemocnice Nymburk s.r.o.</v>
      </c>
      <c r="M49" s="31"/>
      <c r="N49" s="31"/>
      <c r="O49" s="31"/>
      <c r="P49" s="31"/>
      <c r="Q49" s="31"/>
      <c r="R49" s="31"/>
      <c r="S49" s="31"/>
      <c r="T49" s="31"/>
      <c r="U49" s="31"/>
      <c r="V49" s="31"/>
      <c r="W49" s="31"/>
      <c r="X49" s="31"/>
      <c r="Y49" s="31"/>
      <c r="Z49" s="31"/>
      <c r="AA49" s="31"/>
      <c r="AB49" s="31"/>
      <c r="AC49" s="31"/>
      <c r="AD49" s="31"/>
      <c r="AE49" s="31"/>
      <c r="AF49" s="31"/>
      <c r="AG49" s="31"/>
      <c r="AH49" s="31"/>
      <c r="AI49" s="28" t="s">
        <v>33</v>
      </c>
      <c r="AJ49" s="31"/>
      <c r="AK49" s="31"/>
      <c r="AL49" s="31"/>
      <c r="AM49" s="328" t="str">
        <f>IF(E17="","",E17)</f>
        <v>Ing. arch. Pavel Petrák</v>
      </c>
      <c r="AN49" s="329"/>
      <c r="AO49" s="329"/>
      <c r="AP49" s="329"/>
      <c r="AQ49" s="31"/>
      <c r="AR49" s="32"/>
      <c r="AS49" s="330" t="s">
        <v>55</v>
      </c>
      <c r="AT49" s="331"/>
      <c r="AU49" s="50"/>
      <c r="AV49" s="50"/>
      <c r="AW49" s="50"/>
      <c r="AX49" s="50"/>
      <c r="AY49" s="50"/>
      <c r="AZ49" s="50"/>
      <c r="BA49" s="50"/>
      <c r="BB49" s="50"/>
      <c r="BC49" s="50"/>
      <c r="BD49" s="51"/>
      <c r="BE49" s="31"/>
    </row>
    <row r="50" spans="1:57" s="2" customFormat="1" ht="15.2" customHeight="1">
      <c r="A50" s="31"/>
      <c r="B50" s="32"/>
      <c r="C50" s="28" t="s">
        <v>31</v>
      </c>
      <c r="D50" s="31"/>
      <c r="E50" s="31"/>
      <c r="F50" s="31"/>
      <c r="G50" s="31"/>
      <c r="H50" s="31"/>
      <c r="I50" s="31"/>
      <c r="J50" s="31"/>
      <c r="K50" s="31"/>
      <c r="L50" s="4" t="str">
        <f>IF(E14="","",E14)</f>
        <v xml:space="preserve"> </v>
      </c>
      <c r="M50" s="31"/>
      <c r="N50" s="31"/>
      <c r="O50" s="31"/>
      <c r="P50" s="31"/>
      <c r="Q50" s="31"/>
      <c r="R50" s="31"/>
      <c r="S50" s="31"/>
      <c r="T50" s="31"/>
      <c r="U50" s="31"/>
      <c r="V50" s="31"/>
      <c r="W50" s="31"/>
      <c r="X50" s="31"/>
      <c r="Y50" s="31"/>
      <c r="Z50" s="31"/>
      <c r="AA50" s="31"/>
      <c r="AB50" s="31"/>
      <c r="AC50" s="31"/>
      <c r="AD50" s="31"/>
      <c r="AE50" s="31"/>
      <c r="AF50" s="31"/>
      <c r="AG50" s="31"/>
      <c r="AH50" s="31"/>
      <c r="AI50" s="28" t="s">
        <v>38</v>
      </c>
      <c r="AJ50" s="31"/>
      <c r="AK50" s="31"/>
      <c r="AL50" s="31"/>
      <c r="AM50" s="328" t="str">
        <f>IF(E20="","",E20)</f>
        <v xml:space="preserve"> </v>
      </c>
      <c r="AN50" s="329"/>
      <c r="AO50" s="329"/>
      <c r="AP50" s="329"/>
      <c r="AQ50" s="31"/>
      <c r="AR50" s="32"/>
      <c r="AS50" s="332"/>
      <c r="AT50" s="333"/>
      <c r="AU50" s="52"/>
      <c r="AV50" s="52"/>
      <c r="AW50" s="52"/>
      <c r="AX50" s="52"/>
      <c r="AY50" s="52"/>
      <c r="AZ50" s="52"/>
      <c r="BA50" s="52"/>
      <c r="BB50" s="52"/>
      <c r="BC50" s="52"/>
      <c r="BD50" s="53"/>
      <c r="BE50" s="31"/>
    </row>
    <row r="51" spans="1:57" s="2" customFormat="1" ht="10.9" customHeight="1">
      <c r="A51" s="31"/>
      <c r="B51" s="32"/>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2"/>
      <c r="AS51" s="332"/>
      <c r="AT51" s="333"/>
      <c r="AU51" s="52"/>
      <c r="AV51" s="52"/>
      <c r="AW51" s="52"/>
      <c r="AX51" s="52"/>
      <c r="AY51" s="52"/>
      <c r="AZ51" s="52"/>
      <c r="BA51" s="52"/>
      <c r="BB51" s="52"/>
      <c r="BC51" s="52"/>
      <c r="BD51" s="53"/>
      <c r="BE51" s="31"/>
    </row>
    <row r="52" spans="1:57" s="2" customFormat="1" ht="29.25" customHeight="1">
      <c r="A52" s="31"/>
      <c r="B52" s="32"/>
      <c r="C52" s="319" t="s">
        <v>56</v>
      </c>
      <c r="D52" s="320"/>
      <c r="E52" s="320"/>
      <c r="F52" s="320"/>
      <c r="G52" s="320"/>
      <c r="H52" s="54"/>
      <c r="I52" s="321" t="s">
        <v>57</v>
      </c>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2" t="s">
        <v>58</v>
      </c>
      <c r="AH52" s="320"/>
      <c r="AI52" s="320"/>
      <c r="AJ52" s="320"/>
      <c r="AK52" s="320"/>
      <c r="AL52" s="320"/>
      <c r="AM52" s="320"/>
      <c r="AN52" s="321" t="s">
        <v>59</v>
      </c>
      <c r="AO52" s="320"/>
      <c r="AP52" s="320"/>
      <c r="AQ52" s="55" t="s">
        <v>60</v>
      </c>
      <c r="AR52" s="32"/>
      <c r="AS52" s="56" t="s">
        <v>61</v>
      </c>
      <c r="AT52" s="57" t="s">
        <v>62</v>
      </c>
      <c r="AU52" s="57" t="s">
        <v>63</v>
      </c>
      <c r="AV52" s="57" t="s">
        <v>64</v>
      </c>
      <c r="AW52" s="57" t="s">
        <v>65</v>
      </c>
      <c r="AX52" s="57" t="s">
        <v>66</v>
      </c>
      <c r="AY52" s="57" t="s">
        <v>67</v>
      </c>
      <c r="AZ52" s="57" t="s">
        <v>68</v>
      </c>
      <c r="BA52" s="57" t="s">
        <v>69</v>
      </c>
      <c r="BB52" s="57" t="s">
        <v>70</v>
      </c>
      <c r="BC52" s="57" t="s">
        <v>71</v>
      </c>
      <c r="BD52" s="58" t="s">
        <v>72</v>
      </c>
      <c r="BE52" s="31"/>
    </row>
    <row r="53" spans="1:57" s="2" customFormat="1" ht="10.9" customHeight="1">
      <c r="A53" s="31"/>
      <c r="B53" s="32"/>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c r="AS53" s="59"/>
      <c r="AT53" s="60"/>
      <c r="AU53" s="60"/>
      <c r="AV53" s="60"/>
      <c r="AW53" s="60"/>
      <c r="AX53" s="60"/>
      <c r="AY53" s="60"/>
      <c r="AZ53" s="60"/>
      <c r="BA53" s="60"/>
      <c r="BB53" s="60"/>
      <c r="BC53" s="60"/>
      <c r="BD53" s="61"/>
      <c r="BE53" s="31"/>
    </row>
    <row r="54" spans="2:90" s="6" customFormat="1" ht="32.45" customHeight="1">
      <c r="B54" s="62"/>
      <c r="C54" s="63" t="s">
        <v>73</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323">
        <f>ROUND(SUM(AG55:AG61),2)</f>
        <v>0</v>
      </c>
      <c r="AH54" s="323"/>
      <c r="AI54" s="323"/>
      <c r="AJ54" s="323"/>
      <c r="AK54" s="323"/>
      <c r="AL54" s="323"/>
      <c r="AM54" s="323"/>
      <c r="AN54" s="324">
        <f aca="true" t="shared" si="0" ref="AN54:AN61">SUM(AG54,AT54)</f>
        <v>0</v>
      </c>
      <c r="AO54" s="324"/>
      <c r="AP54" s="324"/>
      <c r="AQ54" s="66" t="s">
        <v>3</v>
      </c>
      <c r="AR54" s="62"/>
      <c r="AS54" s="67">
        <f>ROUND(SUM(AS55:AS61),2)</f>
        <v>0</v>
      </c>
      <c r="AT54" s="68">
        <f aca="true" t="shared" si="1" ref="AT54:AT61">ROUND(SUM(AV54:AW54),2)</f>
        <v>0</v>
      </c>
      <c r="AU54" s="69" t="e">
        <f>ROUND(SUM(AU55:AU61),5)</f>
        <v>#REF!</v>
      </c>
      <c r="AV54" s="68">
        <f>ROUND(AZ54*L29,2)</f>
        <v>0</v>
      </c>
      <c r="AW54" s="68">
        <f>ROUND(BA54*L30,2)</f>
        <v>0</v>
      </c>
      <c r="AX54" s="68">
        <f>ROUND(BB54*L29,2)</f>
        <v>0</v>
      </c>
      <c r="AY54" s="68">
        <f>ROUND(BC54*L30,2)</f>
        <v>0</v>
      </c>
      <c r="AZ54" s="68">
        <f>ROUND(SUM(AZ55:AZ61),2)</f>
        <v>0</v>
      </c>
      <c r="BA54" s="68">
        <f>ROUND(SUM(BA55:BA61),2)</f>
        <v>0</v>
      </c>
      <c r="BB54" s="68">
        <f>ROUND(SUM(BB55:BB61),2)</f>
        <v>0</v>
      </c>
      <c r="BC54" s="68">
        <f>ROUND(SUM(BC55:BC61),2)</f>
        <v>0</v>
      </c>
      <c r="BD54" s="70">
        <f>ROUND(SUM(BD55:BD61),2)</f>
        <v>0</v>
      </c>
      <c r="BS54" s="71" t="s">
        <v>74</v>
      </c>
      <c r="BT54" s="71" t="s">
        <v>75</v>
      </c>
      <c r="BU54" s="72" t="s">
        <v>76</v>
      </c>
      <c r="BV54" s="71" t="s">
        <v>77</v>
      </c>
      <c r="BW54" s="71" t="s">
        <v>5</v>
      </c>
      <c r="BX54" s="71" t="s">
        <v>78</v>
      </c>
      <c r="CL54" s="71" t="s">
        <v>18</v>
      </c>
    </row>
    <row r="55" spans="1:91" s="7" customFormat="1" ht="16.5" customHeight="1">
      <c r="A55" s="73" t="s">
        <v>79</v>
      </c>
      <c r="B55" s="74"/>
      <c r="C55" s="75"/>
      <c r="D55" s="318" t="s">
        <v>80</v>
      </c>
      <c r="E55" s="318"/>
      <c r="F55" s="318"/>
      <c r="G55" s="318"/>
      <c r="H55" s="318"/>
      <c r="I55" s="76"/>
      <c r="J55" s="318" t="s">
        <v>81</v>
      </c>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6">
        <f>'01 - Stavební část'!J59</f>
        <v>0</v>
      </c>
      <c r="AH55" s="317"/>
      <c r="AI55" s="317"/>
      <c r="AJ55" s="317"/>
      <c r="AK55" s="317"/>
      <c r="AL55" s="317"/>
      <c r="AM55" s="317"/>
      <c r="AN55" s="316">
        <f t="shared" si="0"/>
        <v>0</v>
      </c>
      <c r="AO55" s="317"/>
      <c r="AP55" s="317"/>
      <c r="AQ55" s="77" t="s">
        <v>82</v>
      </c>
      <c r="AR55" s="74"/>
      <c r="AS55" s="78">
        <v>0</v>
      </c>
      <c r="AT55" s="79">
        <f t="shared" si="1"/>
        <v>0</v>
      </c>
      <c r="AU55" s="80" t="e">
        <f>'01 - Stavební část'!P97</f>
        <v>#REF!</v>
      </c>
      <c r="AV55" s="79">
        <f>'01 - Stavební část'!J33</f>
        <v>0</v>
      </c>
      <c r="AW55" s="79">
        <f>'01 - Stavební část'!J34</f>
        <v>0</v>
      </c>
      <c r="AX55" s="79">
        <f>'01 - Stavební část'!J35</f>
        <v>0</v>
      </c>
      <c r="AY55" s="79">
        <f>'01 - Stavební část'!J36</f>
        <v>0</v>
      </c>
      <c r="AZ55" s="79">
        <f>'01 - Stavební část'!F33</f>
        <v>0</v>
      </c>
      <c r="BA55" s="79">
        <f>'01 - Stavební část'!F34</f>
        <v>0</v>
      </c>
      <c r="BB55" s="79">
        <f>'01 - Stavební část'!F35</f>
        <v>0</v>
      </c>
      <c r="BC55" s="79">
        <f>'01 - Stavební část'!F36</f>
        <v>0</v>
      </c>
      <c r="BD55" s="81">
        <f>'01 - Stavební část'!F37</f>
        <v>0</v>
      </c>
      <c r="BT55" s="82" t="s">
        <v>83</v>
      </c>
      <c r="BV55" s="82" t="s">
        <v>77</v>
      </c>
      <c r="BW55" s="82" t="s">
        <v>84</v>
      </c>
      <c r="BX55" s="82" t="s">
        <v>5</v>
      </c>
      <c r="CL55" s="82" t="s">
        <v>18</v>
      </c>
      <c r="CM55" s="82" t="s">
        <v>85</v>
      </c>
    </row>
    <row r="56" spans="1:91" s="7" customFormat="1" ht="16.5" customHeight="1">
      <c r="A56" s="73" t="s">
        <v>79</v>
      </c>
      <c r="B56" s="74"/>
      <c r="C56" s="75"/>
      <c r="D56" s="318" t="s">
        <v>86</v>
      </c>
      <c r="E56" s="318"/>
      <c r="F56" s="318"/>
      <c r="G56" s="318"/>
      <c r="H56" s="318"/>
      <c r="I56" s="76"/>
      <c r="J56" s="318" t="s">
        <v>87</v>
      </c>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6">
        <f>'02 - Zdravotechnika'!J30</f>
        <v>0</v>
      </c>
      <c r="AH56" s="317"/>
      <c r="AI56" s="317"/>
      <c r="AJ56" s="317"/>
      <c r="AK56" s="317"/>
      <c r="AL56" s="317"/>
      <c r="AM56" s="317"/>
      <c r="AN56" s="316">
        <f t="shared" si="0"/>
        <v>0</v>
      </c>
      <c r="AO56" s="317"/>
      <c r="AP56" s="317"/>
      <c r="AQ56" s="77" t="s">
        <v>82</v>
      </c>
      <c r="AR56" s="74"/>
      <c r="AS56" s="78">
        <v>0</v>
      </c>
      <c r="AT56" s="79">
        <f t="shared" si="1"/>
        <v>0</v>
      </c>
      <c r="AU56" s="80">
        <f>'02 - Zdravotechnika'!P94</f>
        <v>230.87703800000003</v>
      </c>
      <c r="AV56" s="79">
        <f>'02 - Zdravotechnika'!J33</f>
        <v>0</v>
      </c>
      <c r="AW56" s="79">
        <f>'02 - Zdravotechnika'!J34</f>
        <v>0</v>
      </c>
      <c r="AX56" s="79">
        <f>'02 - Zdravotechnika'!J35</f>
        <v>0</v>
      </c>
      <c r="AY56" s="79">
        <f>'02 - Zdravotechnika'!J36</f>
        <v>0</v>
      </c>
      <c r="AZ56" s="79">
        <f>'02 - Zdravotechnika'!F33</f>
        <v>0</v>
      </c>
      <c r="BA56" s="79">
        <f>'02 - Zdravotechnika'!F34</f>
        <v>0</v>
      </c>
      <c r="BB56" s="79">
        <f>'02 - Zdravotechnika'!F35</f>
        <v>0</v>
      </c>
      <c r="BC56" s="79">
        <f>'02 - Zdravotechnika'!F36</f>
        <v>0</v>
      </c>
      <c r="BD56" s="81">
        <f>'02 - Zdravotechnika'!F37</f>
        <v>0</v>
      </c>
      <c r="BT56" s="82" t="s">
        <v>83</v>
      </c>
      <c r="BV56" s="82" t="s">
        <v>77</v>
      </c>
      <c r="BW56" s="82" t="s">
        <v>88</v>
      </c>
      <c r="BX56" s="82" t="s">
        <v>5</v>
      </c>
      <c r="CL56" s="82" t="s">
        <v>18</v>
      </c>
      <c r="CM56" s="82" t="s">
        <v>85</v>
      </c>
    </row>
    <row r="57" spans="1:91" s="7" customFormat="1" ht="16.5" customHeight="1">
      <c r="A57" s="73" t="s">
        <v>79</v>
      </c>
      <c r="B57" s="74"/>
      <c r="C57" s="75"/>
      <c r="D57" s="318" t="s">
        <v>89</v>
      </c>
      <c r="E57" s="318"/>
      <c r="F57" s="318"/>
      <c r="G57" s="318"/>
      <c r="H57" s="318"/>
      <c r="I57" s="76"/>
      <c r="J57" s="318" t="s">
        <v>90</v>
      </c>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6">
        <f>'03 - Vytápění'!J30</f>
        <v>0</v>
      </c>
      <c r="AH57" s="317"/>
      <c r="AI57" s="317"/>
      <c r="AJ57" s="317"/>
      <c r="AK57" s="317"/>
      <c r="AL57" s="317"/>
      <c r="AM57" s="317"/>
      <c r="AN57" s="316">
        <f t="shared" si="0"/>
        <v>0</v>
      </c>
      <c r="AO57" s="317"/>
      <c r="AP57" s="317"/>
      <c r="AQ57" s="77" t="s">
        <v>82</v>
      </c>
      <c r="AR57" s="74"/>
      <c r="AS57" s="78">
        <v>0</v>
      </c>
      <c r="AT57" s="79">
        <f t="shared" si="1"/>
        <v>0</v>
      </c>
      <c r="AU57" s="80">
        <f>'03 - Vytápění'!P91</f>
        <v>60.40932985714286</v>
      </c>
      <c r="AV57" s="79">
        <f>'03 - Vytápění'!J33</f>
        <v>0</v>
      </c>
      <c r="AW57" s="79">
        <f>'03 - Vytápění'!J34</f>
        <v>0</v>
      </c>
      <c r="AX57" s="79">
        <f>'03 - Vytápění'!J35</f>
        <v>0</v>
      </c>
      <c r="AY57" s="79">
        <f>'03 - Vytápění'!J36</f>
        <v>0</v>
      </c>
      <c r="AZ57" s="79">
        <f>'03 - Vytápění'!F33</f>
        <v>0</v>
      </c>
      <c r="BA57" s="79">
        <f>'03 - Vytápění'!F34</f>
        <v>0</v>
      </c>
      <c r="BB57" s="79">
        <f>'03 - Vytápění'!F35</f>
        <v>0</v>
      </c>
      <c r="BC57" s="79">
        <f>'03 - Vytápění'!F36</f>
        <v>0</v>
      </c>
      <c r="BD57" s="81">
        <f>'03 - Vytápění'!F37</f>
        <v>0</v>
      </c>
      <c r="BT57" s="82" t="s">
        <v>83</v>
      </c>
      <c r="BV57" s="82" t="s">
        <v>77</v>
      </c>
      <c r="BW57" s="82" t="s">
        <v>91</v>
      </c>
      <c r="BX57" s="82" t="s">
        <v>5</v>
      </c>
      <c r="CL57" s="82" t="s">
        <v>18</v>
      </c>
      <c r="CM57" s="82" t="s">
        <v>85</v>
      </c>
    </row>
    <row r="58" spans="1:91" s="7" customFormat="1" ht="16.5" customHeight="1">
      <c r="A58" s="73" t="s">
        <v>79</v>
      </c>
      <c r="B58" s="74"/>
      <c r="C58" s="75"/>
      <c r="D58" s="318" t="s">
        <v>92</v>
      </c>
      <c r="E58" s="318"/>
      <c r="F58" s="318"/>
      <c r="G58" s="318"/>
      <c r="H58" s="318"/>
      <c r="I58" s="76"/>
      <c r="J58" s="318" t="s">
        <v>93</v>
      </c>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6">
        <f>'04 - Elektroinstalace'!J30</f>
        <v>0</v>
      </c>
      <c r="AH58" s="317"/>
      <c r="AI58" s="317"/>
      <c r="AJ58" s="317"/>
      <c r="AK58" s="317"/>
      <c r="AL58" s="317"/>
      <c r="AM58" s="317"/>
      <c r="AN58" s="316">
        <f t="shared" si="0"/>
        <v>0</v>
      </c>
      <c r="AO58" s="317"/>
      <c r="AP58" s="317"/>
      <c r="AQ58" s="77" t="s">
        <v>82</v>
      </c>
      <c r="AR58" s="74"/>
      <c r="AS58" s="78">
        <v>0</v>
      </c>
      <c r="AT58" s="79">
        <f t="shared" si="1"/>
        <v>0</v>
      </c>
      <c r="AU58" s="80">
        <f>'04 - Elektroinstalace'!P89</f>
        <v>791.86894</v>
      </c>
      <c r="AV58" s="79">
        <f>'04 - Elektroinstalace'!J33</f>
        <v>0</v>
      </c>
      <c r="AW58" s="79">
        <f>'04 - Elektroinstalace'!J34</f>
        <v>0</v>
      </c>
      <c r="AX58" s="79">
        <f>'04 - Elektroinstalace'!J35</f>
        <v>0</v>
      </c>
      <c r="AY58" s="79">
        <f>'04 - Elektroinstalace'!J36</f>
        <v>0</v>
      </c>
      <c r="AZ58" s="79">
        <f>'04 - Elektroinstalace'!F33</f>
        <v>0</v>
      </c>
      <c r="BA58" s="79">
        <f>'04 - Elektroinstalace'!F34</f>
        <v>0</v>
      </c>
      <c r="BB58" s="79">
        <f>'04 - Elektroinstalace'!F35</f>
        <v>0</v>
      </c>
      <c r="BC58" s="79">
        <f>'04 - Elektroinstalace'!F36</f>
        <v>0</v>
      </c>
      <c r="BD58" s="81">
        <f>'04 - Elektroinstalace'!F37</f>
        <v>0</v>
      </c>
      <c r="BT58" s="82" t="s">
        <v>83</v>
      </c>
      <c r="BV58" s="82" t="s">
        <v>77</v>
      </c>
      <c r="BW58" s="82" t="s">
        <v>94</v>
      </c>
      <c r="BX58" s="82" t="s">
        <v>5</v>
      </c>
      <c r="CL58" s="82" t="s">
        <v>18</v>
      </c>
      <c r="CM58" s="82" t="s">
        <v>85</v>
      </c>
    </row>
    <row r="59" spans="1:91" s="7" customFormat="1" ht="16.5" customHeight="1">
      <c r="A59" s="73" t="s">
        <v>79</v>
      </c>
      <c r="B59" s="74"/>
      <c r="C59" s="75"/>
      <c r="D59" s="318" t="s">
        <v>95</v>
      </c>
      <c r="E59" s="318"/>
      <c r="F59" s="318"/>
      <c r="G59" s="318"/>
      <c r="H59" s="318"/>
      <c r="I59" s="76"/>
      <c r="J59" s="318" t="s">
        <v>96</v>
      </c>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6">
        <f>'05 - VZT'!J30</f>
        <v>0</v>
      </c>
      <c r="AH59" s="317"/>
      <c r="AI59" s="317"/>
      <c r="AJ59" s="317"/>
      <c r="AK59" s="317"/>
      <c r="AL59" s="317"/>
      <c r="AM59" s="317"/>
      <c r="AN59" s="316">
        <f t="shared" si="0"/>
        <v>0</v>
      </c>
      <c r="AO59" s="317"/>
      <c r="AP59" s="317"/>
      <c r="AQ59" s="77" t="s">
        <v>82</v>
      </c>
      <c r="AR59" s="74"/>
      <c r="AS59" s="78">
        <v>0</v>
      </c>
      <c r="AT59" s="79">
        <f t="shared" si="1"/>
        <v>0</v>
      </c>
      <c r="AU59" s="80">
        <f>'05 - VZT'!P88</f>
        <v>43.991620019230766</v>
      </c>
      <c r="AV59" s="79">
        <f>'05 - VZT'!J33</f>
        <v>0</v>
      </c>
      <c r="AW59" s="79">
        <f>'05 - VZT'!J34</f>
        <v>0</v>
      </c>
      <c r="AX59" s="79">
        <f>'05 - VZT'!J35</f>
        <v>0</v>
      </c>
      <c r="AY59" s="79">
        <f>'05 - VZT'!J36</f>
        <v>0</v>
      </c>
      <c r="AZ59" s="79">
        <f>'05 - VZT'!F33</f>
        <v>0</v>
      </c>
      <c r="BA59" s="79">
        <f>'05 - VZT'!F34</f>
        <v>0</v>
      </c>
      <c r="BB59" s="79">
        <f>'05 - VZT'!F35</f>
        <v>0</v>
      </c>
      <c r="BC59" s="79">
        <f>'05 - VZT'!F36</f>
        <v>0</v>
      </c>
      <c r="BD59" s="81">
        <f>'05 - VZT'!F37</f>
        <v>0</v>
      </c>
      <c r="BT59" s="82" t="s">
        <v>83</v>
      </c>
      <c r="BV59" s="82" t="s">
        <v>77</v>
      </c>
      <c r="BW59" s="82" t="s">
        <v>97</v>
      </c>
      <c r="BX59" s="82" t="s">
        <v>5</v>
      </c>
      <c r="CL59" s="82" t="s">
        <v>18</v>
      </c>
      <c r="CM59" s="82" t="s">
        <v>85</v>
      </c>
    </row>
    <row r="60" spans="1:91" s="7" customFormat="1" ht="16.5" customHeight="1">
      <c r="A60" s="73" t="s">
        <v>79</v>
      </c>
      <c r="B60" s="74"/>
      <c r="C60" s="75"/>
      <c r="D60" s="318" t="s">
        <v>98</v>
      </c>
      <c r="E60" s="318"/>
      <c r="F60" s="318"/>
      <c r="G60" s="318"/>
      <c r="H60" s="318"/>
      <c r="I60" s="76"/>
      <c r="J60" s="318" t="s">
        <v>99</v>
      </c>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6">
        <f>'06 - Interiérové vybavení'!J30</f>
        <v>0</v>
      </c>
      <c r="AH60" s="317"/>
      <c r="AI60" s="317"/>
      <c r="AJ60" s="317"/>
      <c r="AK60" s="317"/>
      <c r="AL60" s="317"/>
      <c r="AM60" s="317"/>
      <c r="AN60" s="316">
        <f t="shared" si="0"/>
        <v>0</v>
      </c>
      <c r="AO60" s="317"/>
      <c r="AP60" s="317"/>
      <c r="AQ60" s="77" t="s">
        <v>82</v>
      </c>
      <c r="AR60" s="74"/>
      <c r="AS60" s="78">
        <v>0</v>
      </c>
      <c r="AT60" s="79">
        <f t="shared" si="1"/>
        <v>0</v>
      </c>
      <c r="AU60" s="80">
        <f>'06 - Interiérové vybavení'!P82</f>
        <v>0</v>
      </c>
      <c r="AV60" s="79">
        <f>'06 - Interiérové vybavení'!J33</f>
        <v>0</v>
      </c>
      <c r="AW60" s="79">
        <f>'06 - Interiérové vybavení'!J34</f>
        <v>0</v>
      </c>
      <c r="AX60" s="79">
        <f>'06 - Interiérové vybavení'!J35</f>
        <v>0</v>
      </c>
      <c r="AY60" s="79">
        <f>'06 - Interiérové vybavení'!J36</f>
        <v>0</v>
      </c>
      <c r="AZ60" s="79">
        <f>'06 - Interiérové vybavení'!F33</f>
        <v>0</v>
      </c>
      <c r="BA60" s="79">
        <f>'06 - Interiérové vybavení'!F34</f>
        <v>0</v>
      </c>
      <c r="BB60" s="79">
        <f>'06 - Interiérové vybavení'!F35</f>
        <v>0</v>
      </c>
      <c r="BC60" s="79">
        <f>'06 - Interiérové vybavení'!F36</f>
        <v>0</v>
      </c>
      <c r="BD60" s="81">
        <f>'06 - Interiérové vybavení'!F37</f>
        <v>0</v>
      </c>
      <c r="BT60" s="82" t="s">
        <v>83</v>
      </c>
      <c r="BV60" s="82" t="s">
        <v>77</v>
      </c>
      <c r="BW60" s="82" t="s">
        <v>100</v>
      </c>
      <c r="BX60" s="82" t="s">
        <v>5</v>
      </c>
      <c r="CL60" s="82" t="s">
        <v>18</v>
      </c>
      <c r="CM60" s="82" t="s">
        <v>85</v>
      </c>
    </row>
    <row r="61" spans="1:91" s="7" customFormat="1" ht="16.5" customHeight="1">
      <c r="A61" s="73" t="s">
        <v>79</v>
      </c>
      <c r="B61" s="74"/>
      <c r="C61" s="75"/>
      <c r="D61" s="318" t="s">
        <v>101</v>
      </c>
      <c r="E61" s="318"/>
      <c r="F61" s="318"/>
      <c r="G61" s="318"/>
      <c r="H61" s="318"/>
      <c r="I61" s="76"/>
      <c r="J61" s="318" t="s">
        <v>102</v>
      </c>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6">
        <f>'07 - VRN'!J30</f>
        <v>0</v>
      </c>
      <c r="AH61" s="317"/>
      <c r="AI61" s="317"/>
      <c r="AJ61" s="317"/>
      <c r="AK61" s="317"/>
      <c r="AL61" s="317"/>
      <c r="AM61" s="317"/>
      <c r="AN61" s="316">
        <f t="shared" si="0"/>
        <v>0</v>
      </c>
      <c r="AO61" s="317"/>
      <c r="AP61" s="317"/>
      <c r="AQ61" s="77" t="s">
        <v>82</v>
      </c>
      <c r="AR61" s="74"/>
      <c r="AS61" s="83">
        <v>0</v>
      </c>
      <c r="AT61" s="84">
        <f t="shared" si="1"/>
        <v>0</v>
      </c>
      <c r="AU61" s="85" t="e">
        <f>'07 - VRN'!P82</f>
        <v>#REF!</v>
      </c>
      <c r="AV61" s="84">
        <f>'07 - VRN'!J33</f>
        <v>0</v>
      </c>
      <c r="AW61" s="84">
        <f>'07 - VRN'!J34</f>
        <v>0</v>
      </c>
      <c r="AX61" s="84">
        <f>'07 - VRN'!J35</f>
        <v>0</v>
      </c>
      <c r="AY61" s="84">
        <f>'07 - VRN'!J36</f>
        <v>0</v>
      </c>
      <c r="AZ61" s="84">
        <f>'07 - VRN'!F33</f>
        <v>0</v>
      </c>
      <c r="BA61" s="84">
        <f>'07 - VRN'!F34</f>
        <v>0</v>
      </c>
      <c r="BB61" s="84">
        <f>'07 - VRN'!F35</f>
        <v>0</v>
      </c>
      <c r="BC61" s="84">
        <f>'07 - VRN'!F36</f>
        <v>0</v>
      </c>
      <c r="BD61" s="86">
        <f>'07 - VRN'!F37</f>
        <v>0</v>
      </c>
      <c r="BT61" s="82" t="s">
        <v>83</v>
      </c>
      <c r="BV61" s="82" t="s">
        <v>77</v>
      </c>
      <c r="BW61" s="82" t="s">
        <v>103</v>
      </c>
      <c r="BX61" s="82" t="s">
        <v>5</v>
      </c>
      <c r="CL61" s="82" t="s">
        <v>18</v>
      </c>
      <c r="CM61" s="82" t="s">
        <v>85</v>
      </c>
    </row>
    <row r="62" spans="1:57" s="2" customFormat="1" ht="30" customHeight="1">
      <c r="A62" s="31"/>
      <c r="B62" s="32"/>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2"/>
      <c r="AS62" s="31"/>
      <c r="AT62" s="31"/>
      <c r="AU62" s="31"/>
      <c r="AV62" s="31"/>
      <c r="AW62" s="31"/>
      <c r="AX62" s="31"/>
      <c r="AY62" s="31"/>
      <c r="AZ62" s="31"/>
      <c r="BA62" s="31"/>
      <c r="BB62" s="31"/>
      <c r="BC62" s="31"/>
      <c r="BD62" s="31"/>
      <c r="BE62" s="31"/>
    </row>
    <row r="63" spans="1:57" s="2" customFormat="1" ht="6.95" customHeight="1">
      <c r="A63" s="31"/>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32"/>
      <c r="AS63" s="31"/>
      <c r="AT63" s="31"/>
      <c r="AU63" s="31"/>
      <c r="AV63" s="31"/>
      <c r="AW63" s="31"/>
      <c r="AX63" s="31"/>
      <c r="AY63" s="31"/>
      <c r="AZ63" s="31"/>
      <c r="BA63" s="31"/>
      <c r="BB63" s="31"/>
      <c r="BC63" s="31"/>
      <c r="BD63" s="31"/>
      <c r="BE63" s="31"/>
    </row>
  </sheetData>
  <mergeCells count="64">
    <mergeCell ref="L45:AO45"/>
    <mergeCell ref="AM47:AN47"/>
    <mergeCell ref="AM49:AP49"/>
    <mergeCell ref="AS49:AT51"/>
    <mergeCell ref="AM50:AP50"/>
    <mergeCell ref="C52:G52"/>
    <mergeCell ref="AN52:AP52"/>
    <mergeCell ref="AG52:AM52"/>
    <mergeCell ref="I52:AF52"/>
    <mergeCell ref="AN55:AP55"/>
    <mergeCell ref="D55:H55"/>
    <mergeCell ref="AG55:AM55"/>
    <mergeCell ref="J55:AF55"/>
    <mergeCell ref="AG54:AM54"/>
    <mergeCell ref="AN54:AP54"/>
    <mergeCell ref="J56:AF56"/>
    <mergeCell ref="D56:H56"/>
    <mergeCell ref="AN56:AP56"/>
    <mergeCell ref="AG56:AM56"/>
    <mergeCell ref="J57:AF57"/>
    <mergeCell ref="AG57:AM57"/>
    <mergeCell ref="D57:H57"/>
    <mergeCell ref="AN57:AP57"/>
    <mergeCell ref="AN58:AP58"/>
    <mergeCell ref="AG58:AM58"/>
    <mergeCell ref="J58:AF58"/>
    <mergeCell ref="D58:H58"/>
    <mergeCell ref="AN59:AP59"/>
    <mergeCell ref="AG59:AM59"/>
    <mergeCell ref="D59:H59"/>
    <mergeCell ref="J59:AF59"/>
    <mergeCell ref="AN60:AP60"/>
    <mergeCell ref="AG60:AM60"/>
    <mergeCell ref="D60:H60"/>
    <mergeCell ref="J60:AF60"/>
    <mergeCell ref="AN61:AP61"/>
    <mergeCell ref="AG61:AM61"/>
    <mergeCell ref="D61:H61"/>
    <mergeCell ref="J61:AF61"/>
    <mergeCell ref="L30:P30"/>
    <mergeCell ref="W30:AE30"/>
    <mergeCell ref="K5:AO5"/>
    <mergeCell ref="K6:AO6"/>
    <mergeCell ref="E23:AN23"/>
    <mergeCell ref="AK26:AO26"/>
    <mergeCell ref="L28:P28"/>
    <mergeCell ref="W28:AE28"/>
    <mergeCell ref="AK28:AO28"/>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55" location="'01 - Stavební část'!C2" display="/"/>
    <hyperlink ref="A56" location="'02 - Zdravotechnika'!C2" display="/"/>
    <hyperlink ref="A57" location="'03 - Vytápění'!C2" display="/"/>
    <hyperlink ref="A58" location="'04 - Elektroinstalace'!C2" display="/"/>
    <hyperlink ref="A59" location="'05 - VZT'!C2" display="/"/>
    <hyperlink ref="A60" location="'06 - Interiérové vybavení'!C2" display="/"/>
    <hyperlink ref="A61" location="'07 - VRN'!C2" display="/"/>
  </hyperlinks>
  <printOptions horizontalCentered="1"/>
  <pageMargins left="0.3937007874015748" right="0.3937007874015748" top="0.3937007874015748" bottom="0.3937007874015748" header="0" footer="0"/>
  <pageSetup fitToHeight="100" horizontalDpi="600" verticalDpi="600" orientation="portrait" paperSize="9" scale="66"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710"/>
  <sheetViews>
    <sheetView showGridLines="0" view="pageBreakPreview" zoomScale="80" zoomScaleSheetLayoutView="80" workbookViewId="0" topLeftCell="A116">
      <selection activeCell="Z99" sqref="Z9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01" t="s">
        <v>6</v>
      </c>
      <c r="M2" s="302"/>
      <c r="N2" s="302"/>
      <c r="O2" s="302"/>
      <c r="P2" s="302"/>
      <c r="Q2" s="302"/>
      <c r="R2" s="302"/>
      <c r="S2" s="302"/>
      <c r="T2" s="302"/>
      <c r="U2" s="302"/>
      <c r="V2" s="302"/>
      <c r="AT2" s="19" t="s">
        <v>84</v>
      </c>
    </row>
    <row r="3" spans="2:46" s="1" customFormat="1" ht="6.95" customHeight="1">
      <c r="B3" s="20"/>
      <c r="C3" s="21"/>
      <c r="D3" s="21"/>
      <c r="E3" s="21"/>
      <c r="F3" s="21"/>
      <c r="G3" s="21"/>
      <c r="H3" s="21"/>
      <c r="I3" s="21"/>
      <c r="J3" s="21"/>
      <c r="K3" s="21"/>
      <c r="L3" s="22"/>
      <c r="AT3" s="19" t="s">
        <v>85</v>
      </c>
    </row>
    <row r="4" spans="2:46" s="1" customFormat="1" ht="24.95" customHeight="1">
      <c r="B4" s="22"/>
      <c r="D4" s="23" t="s">
        <v>104</v>
      </c>
      <c r="L4" s="22"/>
      <c r="M4" s="88" t="s">
        <v>11</v>
      </c>
      <c r="AT4" s="19" t="s">
        <v>4</v>
      </c>
    </row>
    <row r="5" spans="2:12" s="1" customFormat="1" ht="6.95" customHeight="1">
      <c r="B5" s="22"/>
      <c r="L5" s="22"/>
    </row>
    <row r="6" spans="2:12" s="1" customFormat="1" ht="12" customHeight="1">
      <c r="B6" s="22"/>
      <c r="D6" s="28" t="s">
        <v>15</v>
      </c>
      <c r="L6" s="22"/>
    </row>
    <row r="7" spans="2:12" s="1" customFormat="1" ht="23.25" customHeight="1">
      <c r="B7" s="22"/>
      <c r="E7" s="335" t="str">
        <f>'Rekapitulace stavby'!K6</f>
        <v>Rekonstrukce lékařských pokojů, skladových a technických prostor Nemocnice Nymburk s.r.o.</v>
      </c>
      <c r="F7" s="336"/>
      <c r="G7" s="336"/>
      <c r="H7" s="336"/>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5" t="s">
        <v>106</v>
      </c>
      <c r="F9" s="334"/>
      <c r="G9" s="334"/>
      <c r="H9" s="334"/>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10" t="str">
        <f>'Rekapitulace stavby'!E14</f>
        <v xml:space="preserve"> </v>
      </c>
      <c r="F18" s="310"/>
      <c r="G18" s="310"/>
      <c r="H18" s="310"/>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12" t="s">
        <v>40</v>
      </c>
      <c r="F27" s="312"/>
      <c r="G27" s="312"/>
      <c r="H27" s="312"/>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ROUND(J97,2)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45</v>
      </c>
      <c r="E33" s="28" t="s">
        <v>46</v>
      </c>
      <c r="F33" s="95">
        <f>ROUND((SUM(BE97:BE709)),2)</f>
        <v>0</v>
      </c>
      <c r="G33" s="31"/>
      <c r="H33" s="31"/>
      <c r="I33" s="96">
        <v>0.21</v>
      </c>
      <c r="J33" s="95">
        <f>ROUND(((SUM(BE97:BE709))*I33),2)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47</v>
      </c>
      <c r="F34" s="95">
        <f>ROUND((SUM(BF97:BF709)),2)</f>
        <v>0</v>
      </c>
      <c r="G34" s="31"/>
      <c r="H34" s="31"/>
      <c r="I34" s="96">
        <v>0.15</v>
      </c>
      <c r="J34" s="95">
        <f>ROUND(((SUM(BF97:BF709))*I34),2)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48</v>
      </c>
      <c r="F35" s="95">
        <f>ROUND((SUM(BG97:BG709)),2)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49</v>
      </c>
      <c r="F36" s="95">
        <f>ROUND((SUM(BH97:BH709)),2)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50</v>
      </c>
      <c r="F37" s="95">
        <f>ROUND((SUM(BI97:BI709)),2)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35" t="str">
        <f>E7</f>
        <v>Rekonstrukce lékařských pokojů, skladových a technických prostor Nemocnice Nymburk s.r.o.</v>
      </c>
      <c r="F48" s="336"/>
      <c r="G48" s="336"/>
      <c r="H48" s="336"/>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5" t="str">
        <f>E9</f>
        <v>01 - Stavební část</v>
      </c>
      <c r="F50" s="334"/>
      <c r="G50" s="334"/>
      <c r="H50" s="334"/>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73</v>
      </c>
      <c r="D59" s="31"/>
      <c r="E59" s="31"/>
      <c r="F59" s="31"/>
      <c r="G59" s="31"/>
      <c r="H59" s="31"/>
      <c r="I59" s="31"/>
      <c r="J59" s="65">
        <f>J60+J66</f>
        <v>0</v>
      </c>
      <c r="K59" s="31"/>
      <c r="L59" s="89"/>
      <c r="S59" s="31"/>
      <c r="T59" s="31"/>
      <c r="U59" s="31"/>
      <c r="V59" s="31"/>
      <c r="W59" s="31"/>
      <c r="X59" s="31"/>
      <c r="Y59" s="31"/>
      <c r="Z59" s="31"/>
      <c r="AA59" s="31"/>
      <c r="AB59" s="31"/>
      <c r="AC59" s="31"/>
      <c r="AD59" s="31"/>
      <c r="AE59" s="31"/>
      <c r="AU59" s="19" t="s">
        <v>110</v>
      </c>
    </row>
    <row r="60" spans="2:12" s="9" customFormat="1" ht="24.95" customHeight="1">
      <c r="B60" s="106"/>
      <c r="D60" s="107" t="s">
        <v>111</v>
      </c>
      <c r="E60" s="108"/>
      <c r="F60" s="108"/>
      <c r="G60" s="108"/>
      <c r="H60" s="108"/>
      <c r="I60" s="108"/>
      <c r="J60" s="109">
        <f>J98</f>
        <v>0</v>
      </c>
      <c r="L60" s="106"/>
    </row>
    <row r="61" spans="2:12" s="10" customFormat="1" ht="19.9" customHeight="1">
      <c r="B61" s="110"/>
      <c r="D61" s="111" t="s">
        <v>112</v>
      </c>
      <c r="E61" s="112"/>
      <c r="F61" s="112"/>
      <c r="G61" s="112"/>
      <c r="H61" s="112"/>
      <c r="I61" s="112"/>
      <c r="J61" s="113">
        <f>J99</f>
        <v>0</v>
      </c>
      <c r="L61" s="110"/>
    </row>
    <row r="62" spans="2:12" s="10" customFormat="1" ht="19.9" customHeight="1">
      <c r="B62" s="110"/>
      <c r="D62" s="111" t="s">
        <v>113</v>
      </c>
      <c r="E62" s="112"/>
      <c r="F62" s="112"/>
      <c r="G62" s="112"/>
      <c r="H62" s="112"/>
      <c r="I62" s="112"/>
      <c r="J62" s="276">
        <f>J156</f>
        <v>0</v>
      </c>
      <c r="L62" s="110"/>
    </row>
    <row r="63" spans="2:12" s="10" customFormat="1" ht="19.9" customHeight="1">
      <c r="B63" s="110"/>
      <c r="D63" s="111" t="s">
        <v>114</v>
      </c>
      <c r="E63" s="112"/>
      <c r="F63" s="112"/>
      <c r="G63" s="112"/>
      <c r="H63" s="112"/>
      <c r="I63" s="112"/>
      <c r="J63" s="113">
        <f>J191</f>
        <v>0</v>
      </c>
      <c r="L63" s="110"/>
    </row>
    <row r="64" spans="2:12" s="10" customFormat="1" ht="19.9" customHeight="1">
      <c r="B64" s="110"/>
      <c r="D64" s="111" t="s">
        <v>115</v>
      </c>
      <c r="E64" s="112"/>
      <c r="F64" s="112"/>
      <c r="G64" s="112"/>
      <c r="H64" s="112"/>
      <c r="I64" s="112"/>
      <c r="J64" s="276">
        <f>J264</f>
        <v>0</v>
      </c>
      <c r="L64" s="110"/>
    </row>
    <row r="65" spans="2:12" s="10" customFormat="1" ht="19.9" customHeight="1">
      <c r="B65" s="110"/>
      <c r="D65" s="111" t="s">
        <v>116</v>
      </c>
      <c r="E65" s="112"/>
      <c r="F65" s="112"/>
      <c r="G65" s="112"/>
      <c r="H65" s="112"/>
      <c r="I65" s="112"/>
      <c r="J65" s="113">
        <f>J277</f>
        <v>0</v>
      </c>
      <c r="L65" s="110"/>
    </row>
    <row r="66" spans="2:12" s="9" customFormat="1" ht="24.95" customHeight="1">
      <c r="B66" s="106"/>
      <c r="D66" s="107" t="s">
        <v>117</v>
      </c>
      <c r="E66" s="108"/>
      <c r="F66" s="108"/>
      <c r="G66" s="108"/>
      <c r="H66" s="108"/>
      <c r="I66" s="108"/>
      <c r="J66" s="109">
        <f>SUM(J67:J77)</f>
        <v>0</v>
      </c>
      <c r="L66" s="106"/>
    </row>
    <row r="67" spans="2:12" s="10" customFormat="1" ht="19.9" customHeight="1">
      <c r="B67" s="110"/>
      <c r="D67" s="111" t="s">
        <v>118</v>
      </c>
      <c r="E67" s="112"/>
      <c r="F67" s="112"/>
      <c r="G67" s="112"/>
      <c r="H67" s="112"/>
      <c r="I67" s="112"/>
      <c r="J67" s="113">
        <f>J281</f>
        <v>0</v>
      </c>
      <c r="L67" s="110"/>
    </row>
    <row r="68" spans="2:12" s="10" customFormat="1" ht="19.9" customHeight="1">
      <c r="B68" s="110"/>
      <c r="D68" s="111" t="s">
        <v>119</v>
      </c>
      <c r="E68" s="112"/>
      <c r="F68" s="112"/>
      <c r="G68" s="112"/>
      <c r="H68" s="112"/>
      <c r="I68" s="112"/>
      <c r="J68" s="113">
        <f>J299</f>
        <v>0</v>
      </c>
      <c r="L68" s="110"/>
    </row>
    <row r="69" spans="2:12" s="10" customFormat="1" ht="19.9" customHeight="1">
      <c r="B69" s="110"/>
      <c r="D69" s="111" t="s">
        <v>120</v>
      </c>
      <c r="E69" s="112"/>
      <c r="F69" s="112"/>
      <c r="G69" s="112"/>
      <c r="H69" s="112"/>
      <c r="I69" s="112"/>
      <c r="J69" s="276">
        <f>J309</f>
        <v>0</v>
      </c>
      <c r="L69" s="110"/>
    </row>
    <row r="70" spans="2:12" s="10" customFormat="1" ht="19.9" customHeight="1">
      <c r="B70" s="110"/>
      <c r="D70" s="111" t="s">
        <v>121</v>
      </c>
      <c r="E70" s="112"/>
      <c r="F70" s="112"/>
      <c r="G70" s="112"/>
      <c r="H70" s="112"/>
      <c r="I70" s="112"/>
      <c r="J70" s="113">
        <f>J439</f>
        <v>0</v>
      </c>
      <c r="L70" s="110"/>
    </row>
    <row r="71" spans="2:12" s="10" customFormat="1" ht="19.9" customHeight="1">
      <c r="B71" s="110"/>
      <c r="D71" s="111" t="s">
        <v>122</v>
      </c>
      <c r="E71" s="112"/>
      <c r="F71" s="112"/>
      <c r="G71" s="112"/>
      <c r="H71" s="112"/>
      <c r="I71" s="112"/>
      <c r="J71" s="276">
        <f>J454</f>
        <v>0</v>
      </c>
      <c r="L71" s="110"/>
    </row>
    <row r="72" spans="2:12" s="10" customFormat="1" ht="19.9" customHeight="1">
      <c r="B72" s="110"/>
      <c r="D72" s="111" t="s">
        <v>123</v>
      </c>
      <c r="E72" s="112"/>
      <c r="F72" s="112"/>
      <c r="G72" s="112"/>
      <c r="H72" s="112"/>
      <c r="I72" s="112"/>
      <c r="J72" s="113">
        <f>J511</f>
        <v>0</v>
      </c>
      <c r="L72" s="110"/>
    </row>
    <row r="73" spans="2:12" s="10" customFormat="1" ht="19.9" customHeight="1">
      <c r="B73" s="110"/>
      <c r="D73" s="111" t="s">
        <v>124</v>
      </c>
      <c r="E73" s="112"/>
      <c r="F73" s="112"/>
      <c r="G73" s="112"/>
      <c r="H73" s="112"/>
      <c r="I73" s="112"/>
      <c r="J73" s="113">
        <f>J553</f>
        <v>0</v>
      </c>
      <c r="L73" s="110"/>
    </row>
    <row r="74" spans="2:12" s="10" customFormat="1" ht="19.9" customHeight="1">
      <c r="B74" s="110"/>
      <c r="D74" s="111" t="s">
        <v>125</v>
      </c>
      <c r="E74" s="112"/>
      <c r="F74" s="112"/>
      <c r="G74" s="112"/>
      <c r="H74" s="112"/>
      <c r="I74" s="112"/>
      <c r="J74" s="276">
        <f>J572</f>
        <v>0</v>
      </c>
      <c r="L74" s="110"/>
    </row>
    <row r="75" spans="2:12" s="10" customFormat="1" ht="19.9" customHeight="1">
      <c r="B75" s="110"/>
      <c r="D75" s="111" t="s">
        <v>126</v>
      </c>
      <c r="E75" s="112"/>
      <c r="F75" s="112"/>
      <c r="G75" s="112"/>
      <c r="H75" s="112"/>
      <c r="I75" s="112"/>
      <c r="J75" s="113">
        <f>J643</f>
        <v>0</v>
      </c>
      <c r="L75" s="110"/>
    </row>
    <row r="76" spans="2:12" s="10" customFormat="1" ht="19.9" customHeight="1">
      <c r="B76" s="110"/>
      <c r="D76" s="111" t="s">
        <v>127</v>
      </c>
      <c r="E76" s="112"/>
      <c r="F76" s="112"/>
      <c r="G76" s="112"/>
      <c r="H76" s="112"/>
      <c r="I76" s="112"/>
      <c r="J76" s="113">
        <f>J670</f>
        <v>0</v>
      </c>
      <c r="L76" s="110"/>
    </row>
    <row r="77" spans="2:12" s="10" customFormat="1" ht="19.9" customHeight="1">
      <c r="B77" s="110"/>
      <c r="D77" s="111" t="s">
        <v>128</v>
      </c>
      <c r="E77" s="112"/>
      <c r="F77" s="112"/>
      <c r="G77" s="112"/>
      <c r="H77" s="112"/>
      <c r="I77" s="112"/>
      <c r="J77" s="113">
        <f>J700</f>
        <v>0</v>
      </c>
      <c r="L77" s="110"/>
    </row>
    <row r="78" spans="1:31" s="2" customFormat="1" ht="21.75" customHeight="1">
      <c r="A78" s="31"/>
      <c r="B78" s="32"/>
      <c r="C78" s="31"/>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6.95" customHeight="1">
      <c r="A79" s="31"/>
      <c r="B79" s="41"/>
      <c r="C79" s="42"/>
      <c r="D79" s="42"/>
      <c r="E79" s="42"/>
      <c r="F79" s="42"/>
      <c r="G79" s="42"/>
      <c r="H79" s="42"/>
      <c r="I79" s="42"/>
      <c r="J79" s="42"/>
      <c r="K79" s="42"/>
      <c r="L79" s="89"/>
      <c r="S79" s="31"/>
      <c r="T79" s="31"/>
      <c r="U79" s="31"/>
      <c r="V79" s="31"/>
      <c r="W79" s="31"/>
      <c r="X79" s="31"/>
      <c r="Y79" s="31"/>
      <c r="Z79" s="31"/>
      <c r="AA79" s="31"/>
      <c r="AB79" s="31"/>
      <c r="AC79" s="31"/>
      <c r="AD79" s="31"/>
      <c r="AE79" s="31"/>
    </row>
    <row r="83" spans="1:31" s="2" customFormat="1" ht="6.95" customHeight="1">
      <c r="A83" s="31"/>
      <c r="B83" s="43"/>
      <c r="C83" s="44"/>
      <c r="D83" s="44"/>
      <c r="E83" s="44"/>
      <c r="F83" s="44"/>
      <c r="G83" s="44"/>
      <c r="H83" s="44"/>
      <c r="I83" s="44"/>
      <c r="J83" s="44"/>
      <c r="K83" s="44"/>
      <c r="L83" s="89"/>
      <c r="S83" s="31"/>
      <c r="T83" s="31"/>
      <c r="U83" s="31"/>
      <c r="V83" s="31"/>
      <c r="W83" s="31"/>
      <c r="X83" s="31"/>
      <c r="Y83" s="31"/>
      <c r="Z83" s="31"/>
      <c r="AA83" s="31"/>
      <c r="AB83" s="31"/>
      <c r="AC83" s="31"/>
      <c r="AD83" s="31"/>
      <c r="AE83" s="31"/>
    </row>
    <row r="84" spans="1:31" s="2" customFormat="1" ht="24.95" customHeight="1">
      <c r="A84" s="31"/>
      <c r="B84" s="32"/>
      <c r="C84" s="23" t="s">
        <v>129</v>
      </c>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6.95" customHeight="1">
      <c r="A85" s="31"/>
      <c r="B85" s="32"/>
      <c r="C85" s="31"/>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12" customHeight="1">
      <c r="A86" s="31"/>
      <c r="B86" s="32"/>
      <c r="C86" s="28" t="s">
        <v>15</v>
      </c>
      <c r="D86" s="31"/>
      <c r="E86" s="31"/>
      <c r="F86" s="31"/>
      <c r="G86" s="31"/>
      <c r="H86" s="31"/>
      <c r="I86" s="31"/>
      <c r="J86" s="31"/>
      <c r="K86" s="31"/>
      <c r="L86" s="89"/>
      <c r="S86" s="31"/>
      <c r="T86" s="31"/>
      <c r="U86" s="31"/>
      <c r="V86" s="31"/>
      <c r="W86" s="31"/>
      <c r="X86" s="31"/>
      <c r="Y86" s="31"/>
      <c r="Z86" s="31"/>
      <c r="AA86" s="31"/>
      <c r="AB86" s="31"/>
      <c r="AC86" s="31"/>
      <c r="AD86" s="31"/>
      <c r="AE86" s="31"/>
    </row>
    <row r="87" spans="1:31" s="2" customFormat="1" ht="23.25" customHeight="1">
      <c r="A87" s="31"/>
      <c r="B87" s="32"/>
      <c r="C87" s="31"/>
      <c r="D87" s="31"/>
      <c r="E87" s="335" t="str">
        <f>E7</f>
        <v>Rekonstrukce lékařských pokojů, skladových a technických prostor Nemocnice Nymburk s.r.o.</v>
      </c>
      <c r="F87" s="336"/>
      <c r="G87" s="336"/>
      <c r="H87" s="336"/>
      <c r="I87" s="31"/>
      <c r="J87" s="31"/>
      <c r="K87" s="31"/>
      <c r="L87" s="89"/>
      <c r="S87" s="31"/>
      <c r="T87" s="31"/>
      <c r="U87" s="31"/>
      <c r="V87" s="31"/>
      <c r="W87" s="31"/>
      <c r="X87" s="31"/>
      <c r="Y87" s="31"/>
      <c r="Z87" s="31"/>
      <c r="AA87" s="31"/>
      <c r="AB87" s="31"/>
      <c r="AC87" s="31"/>
      <c r="AD87" s="31"/>
      <c r="AE87" s="31"/>
    </row>
    <row r="88" spans="1:31" s="2" customFormat="1" ht="12" customHeight="1">
      <c r="A88" s="31"/>
      <c r="B88" s="32"/>
      <c r="C88" s="28" t="s">
        <v>105</v>
      </c>
      <c r="D88" s="31"/>
      <c r="E88" s="31"/>
      <c r="F88" s="31"/>
      <c r="G88" s="31"/>
      <c r="H88" s="31"/>
      <c r="I88" s="31"/>
      <c r="J88" s="31"/>
      <c r="K88" s="31"/>
      <c r="L88" s="89"/>
      <c r="S88" s="31"/>
      <c r="T88" s="31"/>
      <c r="U88" s="31"/>
      <c r="V88" s="31"/>
      <c r="W88" s="31"/>
      <c r="X88" s="31"/>
      <c r="Y88" s="31"/>
      <c r="Z88" s="31"/>
      <c r="AA88" s="31"/>
      <c r="AB88" s="31"/>
      <c r="AC88" s="31"/>
      <c r="AD88" s="31"/>
      <c r="AE88" s="31"/>
    </row>
    <row r="89" spans="1:31" s="2" customFormat="1" ht="16.5" customHeight="1">
      <c r="A89" s="31"/>
      <c r="B89" s="32"/>
      <c r="C89" s="31"/>
      <c r="D89" s="31"/>
      <c r="E89" s="325" t="str">
        <f>E9</f>
        <v>01 - Stavební část</v>
      </c>
      <c r="F89" s="334"/>
      <c r="G89" s="334"/>
      <c r="H89" s="334"/>
      <c r="I89" s="31"/>
      <c r="J89" s="31"/>
      <c r="K89" s="31"/>
      <c r="L89" s="89"/>
      <c r="S89" s="31"/>
      <c r="T89" s="31"/>
      <c r="U89" s="31"/>
      <c r="V89" s="31"/>
      <c r="W89" s="31"/>
      <c r="X89" s="31"/>
      <c r="Y89" s="31"/>
      <c r="Z89" s="31"/>
      <c r="AA89" s="31"/>
      <c r="AB89" s="31"/>
      <c r="AC89" s="31"/>
      <c r="AD89" s="31"/>
      <c r="AE89" s="31"/>
    </row>
    <row r="90" spans="1:31" s="2" customFormat="1" ht="6.95" customHeight="1">
      <c r="A90" s="31"/>
      <c r="B90" s="32"/>
      <c r="C90" s="31"/>
      <c r="D90" s="31"/>
      <c r="E90" s="31"/>
      <c r="F90" s="31"/>
      <c r="G90" s="31"/>
      <c r="H90" s="31"/>
      <c r="I90" s="31"/>
      <c r="J90" s="31"/>
      <c r="K90" s="31"/>
      <c r="L90" s="89"/>
      <c r="S90" s="31"/>
      <c r="T90" s="31"/>
      <c r="U90" s="31"/>
      <c r="V90" s="31"/>
      <c r="W90" s="31"/>
      <c r="X90" s="31"/>
      <c r="Y90" s="31"/>
      <c r="Z90" s="31"/>
      <c r="AA90" s="31"/>
      <c r="AB90" s="31"/>
      <c r="AC90" s="31"/>
      <c r="AD90" s="31"/>
      <c r="AE90" s="31"/>
    </row>
    <row r="91" spans="1:31" s="2" customFormat="1" ht="12" customHeight="1">
      <c r="A91" s="31"/>
      <c r="B91" s="32"/>
      <c r="C91" s="28" t="s">
        <v>21</v>
      </c>
      <c r="D91" s="31"/>
      <c r="E91" s="31"/>
      <c r="F91" s="26" t="str">
        <f>F12</f>
        <v>Nymburk</v>
      </c>
      <c r="G91" s="31"/>
      <c r="H91" s="31"/>
      <c r="I91" s="28" t="s">
        <v>23</v>
      </c>
      <c r="J91" s="49" t="str">
        <f>IF(J12="","",J12)</f>
        <v>1. 9. 2020</v>
      </c>
      <c r="K91" s="31"/>
      <c r="L91" s="89"/>
      <c r="S91" s="31"/>
      <c r="T91" s="31"/>
      <c r="U91" s="31"/>
      <c r="V91" s="31"/>
      <c r="W91" s="31"/>
      <c r="X91" s="31"/>
      <c r="Y91" s="31"/>
      <c r="Z91" s="31"/>
      <c r="AA91" s="31"/>
      <c r="AB91" s="31"/>
      <c r="AC91" s="31"/>
      <c r="AD91" s="31"/>
      <c r="AE91" s="31"/>
    </row>
    <row r="92" spans="1:31" s="2" customFormat="1" ht="6.95" customHeight="1">
      <c r="A92" s="31"/>
      <c r="B92" s="32"/>
      <c r="C92" s="31"/>
      <c r="D92" s="31"/>
      <c r="E92" s="31"/>
      <c r="F92" s="31"/>
      <c r="G92" s="31"/>
      <c r="H92" s="31"/>
      <c r="I92" s="31"/>
      <c r="J92" s="31"/>
      <c r="K92" s="31"/>
      <c r="L92" s="89"/>
      <c r="S92" s="31"/>
      <c r="T92" s="31"/>
      <c r="U92" s="31"/>
      <c r="V92" s="31"/>
      <c r="W92" s="31"/>
      <c r="X92" s="31"/>
      <c r="Y92" s="31"/>
      <c r="Z92" s="31"/>
      <c r="AA92" s="31"/>
      <c r="AB92" s="31"/>
      <c r="AC92" s="31"/>
      <c r="AD92" s="31"/>
      <c r="AE92" s="31"/>
    </row>
    <row r="93" spans="1:31" s="2" customFormat="1" ht="25.7" customHeight="1">
      <c r="A93" s="31"/>
      <c r="B93" s="32"/>
      <c r="C93" s="28" t="s">
        <v>25</v>
      </c>
      <c r="D93" s="31"/>
      <c r="E93" s="31"/>
      <c r="F93" s="26" t="str">
        <f>E15</f>
        <v>Nemocnice Nymburk s.r.o.</v>
      </c>
      <c r="G93" s="31"/>
      <c r="H93" s="31"/>
      <c r="I93" s="28" t="s">
        <v>33</v>
      </c>
      <c r="J93" s="29" t="str">
        <f>E21</f>
        <v>Ing. arch. Pavel Petrák</v>
      </c>
      <c r="K93" s="31"/>
      <c r="L93" s="89"/>
      <c r="S93" s="31"/>
      <c r="T93" s="31"/>
      <c r="U93" s="31"/>
      <c r="V93" s="31"/>
      <c r="W93" s="31"/>
      <c r="X93" s="31"/>
      <c r="Y93" s="31"/>
      <c r="Z93" s="31"/>
      <c r="AA93" s="31"/>
      <c r="AB93" s="31"/>
      <c r="AC93" s="31"/>
      <c r="AD93" s="31"/>
      <c r="AE93" s="31"/>
    </row>
    <row r="94" spans="1:31" s="2" customFormat="1" ht="15.2" customHeight="1">
      <c r="A94" s="31"/>
      <c r="B94" s="32"/>
      <c r="C94" s="28" t="s">
        <v>31</v>
      </c>
      <c r="D94" s="31"/>
      <c r="E94" s="31"/>
      <c r="F94" s="26" t="str">
        <f>IF(E18="","",E18)</f>
        <v xml:space="preserve"> </v>
      </c>
      <c r="G94" s="31"/>
      <c r="H94" s="31"/>
      <c r="I94" s="28" t="s">
        <v>38</v>
      </c>
      <c r="J94" s="29" t="str">
        <f>E24</f>
        <v xml:space="preserve"> </v>
      </c>
      <c r="K94" s="31"/>
      <c r="L94" s="89"/>
      <c r="S94" s="31"/>
      <c r="T94" s="31"/>
      <c r="U94" s="31"/>
      <c r="V94" s="31"/>
      <c r="W94" s="31"/>
      <c r="X94" s="31"/>
      <c r="Y94" s="31"/>
      <c r="Z94" s="31"/>
      <c r="AA94" s="31"/>
      <c r="AB94" s="31"/>
      <c r="AC94" s="31"/>
      <c r="AD94" s="31"/>
      <c r="AE94" s="31"/>
    </row>
    <row r="95" spans="1:31" s="2" customFormat="1" ht="10.35" customHeight="1">
      <c r="A95" s="31"/>
      <c r="B95" s="32"/>
      <c r="C95" s="31"/>
      <c r="D95" s="31"/>
      <c r="E95" s="31"/>
      <c r="F95" s="31"/>
      <c r="G95" s="31"/>
      <c r="H95" s="31"/>
      <c r="I95" s="31"/>
      <c r="J95" s="31"/>
      <c r="K95" s="31"/>
      <c r="L95" s="89"/>
      <c r="S95" s="31"/>
      <c r="T95" s="31"/>
      <c r="U95" s="31"/>
      <c r="V95" s="31"/>
      <c r="W95" s="31"/>
      <c r="X95" s="31"/>
      <c r="Y95" s="31"/>
      <c r="Z95" s="31"/>
      <c r="AA95" s="31"/>
      <c r="AB95" s="31"/>
      <c r="AC95" s="31"/>
      <c r="AD95" s="31"/>
      <c r="AE95" s="31"/>
    </row>
    <row r="96" spans="1:31" s="11" customFormat="1" ht="29.25" customHeight="1">
      <c r="A96" s="114"/>
      <c r="B96" s="115"/>
      <c r="C96" s="116" t="s">
        <v>130</v>
      </c>
      <c r="D96" s="117" t="s">
        <v>60</v>
      </c>
      <c r="E96" s="117" t="s">
        <v>56</v>
      </c>
      <c r="F96" s="117" t="s">
        <v>57</v>
      </c>
      <c r="G96" s="117" t="s">
        <v>131</v>
      </c>
      <c r="H96" s="117" t="s">
        <v>132</v>
      </c>
      <c r="I96" s="117" t="s">
        <v>133</v>
      </c>
      <c r="J96" s="117" t="s">
        <v>109</v>
      </c>
      <c r="K96" s="118" t="s">
        <v>134</v>
      </c>
      <c r="L96" s="119"/>
      <c r="M96" s="56" t="s">
        <v>3</v>
      </c>
      <c r="N96" s="57" t="s">
        <v>45</v>
      </c>
      <c r="O96" s="57" t="s">
        <v>135</v>
      </c>
      <c r="P96" s="57" t="s">
        <v>136</v>
      </c>
      <c r="Q96" s="57" t="s">
        <v>137</v>
      </c>
      <c r="R96" s="57" t="s">
        <v>138</v>
      </c>
      <c r="S96" s="57" t="s">
        <v>139</v>
      </c>
      <c r="T96" s="58" t="s">
        <v>140</v>
      </c>
      <c r="U96" s="114"/>
      <c r="V96" s="114"/>
      <c r="W96" s="114"/>
      <c r="X96" s="114"/>
      <c r="Y96" s="114"/>
      <c r="Z96" s="114"/>
      <c r="AA96" s="114"/>
      <c r="AB96" s="114"/>
      <c r="AC96" s="114"/>
      <c r="AD96" s="114"/>
      <c r="AE96" s="114"/>
    </row>
    <row r="97" spans="1:63" s="2" customFormat="1" ht="22.9" customHeight="1">
      <c r="A97" s="31"/>
      <c r="B97" s="32"/>
      <c r="C97" s="63" t="s">
        <v>141</v>
      </c>
      <c r="D97" s="31"/>
      <c r="E97" s="31"/>
      <c r="F97" s="31"/>
      <c r="G97" s="31"/>
      <c r="H97" s="31"/>
      <c r="I97" s="31"/>
      <c r="J97" s="120">
        <f>J98+J280</f>
        <v>0</v>
      </c>
      <c r="K97" s="31"/>
      <c r="L97" s="32"/>
      <c r="M97" s="59"/>
      <c r="N97" s="50"/>
      <c r="O97" s="60"/>
      <c r="P97" s="121" t="e">
        <f>P98+P280</f>
        <v>#REF!</v>
      </c>
      <c r="Q97" s="60"/>
      <c r="R97" s="121" t="e">
        <f>R98+R280</f>
        <v>#REF!</v>
      </c>
      <c r="S97" s="60"/>
      <c r="T97" s="122" t="e">
        <f>T98+T280</f>
        <v>#REF!</v>
      </c>
      <c r="U97" s="31"/>
      <c r="V97" s="31"/>
      <c r="W97" s="31"/>
      <c r="X97" s="31"/>
      <c r="Y97" s="31"/>
      <c r="Z97" s="31"/>
      <c r="AA97" s="31"/>
      <c r="AB97" s="31"/>
      <c r="AC97" s="31"/>
      <c r="AD97" s="31"/>
      <c r="AE97" s="31"/>
      <c r="AT97" s="19" t="s">
        <v>74</v>
      </c>
      <c r="AU97" s="19" t="s">
        <v>110</v>
      </c>
      <c r="BK97" s="123" t="e">
        <f>BK98+BK280</f>
        <v>#REF!</v>
      </c>
    </row>
    <row r="98" spans="2:63" s="12" customFormat="1" ht="25.9" customHeight="1">
      <c r="B98" s="124"/>
      <c r="D98" s="125" t="s">
        <v>74</v>
      </c>
      <c r="E98" s="126" t="s">
        <v>142</v>
      </c>
      <c r="F98" s="126" t="s">
        <v>143</v>
      </c>
      <c r="J98" s="127">
        <f>BK98</f>
        <v>0</v>
      </c>
      <c r="L98" s="124"/>
      <c r="M98" s="128"/>
      <c r="N98" s="129"/>
      <c r="O98" s="129"/>
      <c r="P98" s="130">
        <f>P99+P156+P191+P264+P277</f>
        <v>903.0198896500001</v>
      </c>
      <c r="Q98" s="129"/>
      <c r="R98" s="130">
        <f>R99+R156+R191+R264+R277</f>
        <v>15.348225919820003</v>
      </c>
      <c r="S98" s="129"/>
      <c r="T98" s="131">
        <f>T99+T156+T191+T264+T277</f>
        <v>17.805593</v>
      </c>
      <c r="AR98" s="125" t="s">
        <v>83</v>
      </c>
      <c r="AT98" s="132" t="s">
        <v>74</v>
      </c>
      <c r="AU98" s="132" t="s">
        <v>75</v>
      </c>
      <c r="AY98" s="125" t="s">
        <v>144</v>
      </c>
      <c r="BK98" s="133">
        <f>BK99+BK156+BK191+BK264+BK277</f>
        <v>0</v>
      </c>
    </row>
    <row r="99" spans="2:63" s="12" customFormat="1" ht="22.9" customHeight="1">
      <c r="B99" s="124"/>
      <c r="D99" s="125" t="s">
        <v>74</v>
      </c>
      <c r="E99" s="134" t="s">
        <v>145</v>
      </c>
      <c r="F99" s="134" t="s">
        <v>146</v>
      </c>
      <c r="J99" s="135">
        <f>BK99</f>
        <v>0</v>
      </c>
      <c r="L99" s="124"/>
      <c r="M99" s="128"/>
      <c r="N99" s="129"/>
      <c r="O99" s="129"/>
      <c r="P99" s="130">
        <f>SUM(P100:P155)</f>
        <v>80.11108265</v>
      </c>
      <c r="Q99" s="129"/>
      <c r="R99" s="130">
        <f>SUM(R100:R155)</f>
        <v>10.818664919820002</v>
      </c>
      <c r="S99" s="129"/>
      <c r="T99" s="131">
        <f>SUM(T100:T155)</f>
        <v>0</v>
      </c>
      <c r="AR99" s="125" t="s">
        <v>83</v>
      </c>
      <c r="AT99" s="132" t="s">
        <v>74</v>
      </c>
      <c r="AU99" s="132" t="s">
        <v>83</v>
      </c>
      <c r="AY99" s="125" t="s">
        <v>144</v>
      </c>
      <c r="BK99" s="133">
        <f>SUM(BK100:BK155)</f>
        <v>0</v>
      </c>
    </row>
    <row r="100" spans="1:65" s="2" customFormat="1" ht="37.9" customHeight="1">
      <c r="A100" s="31"/>
      <c r="B100" s="136"/>
      <c r="C100" s="137" t="s">
        <v>83</v>
      </c>
      <c r="D100" s="137" t="s">
        <v>147</v>
      </c>
      <c r="E100" s="138" t="s">
        <v>148</v>
      </c>
      <c r="F100" s="139" t="s">
        <v>149</v>
      </c>
      <c r="G100" s="140" t="s">
        <v>150</v>
      </c>
      <c r="H100" s="141">
        <f>H102</f>
        <v>2.6662500000000002</v>
      </c>
      <c r="I100" s="142"/>
      <c r="J100" s="142">
        <f>ROUND(I100*H100,2)</f>
        <v>0</v>
      </c>
      <c r="K100" s="139" t="s">
        <v>151</v>
      </c>
      <c r="L100" s="32"/>
      <c r="M100" s="143" t="s">
        <v>3</v>
      </c>
      <c r="N100" s="144" t="s">
        <v>46</v>
      </c>
      <c r="O100" s="145">
        <v>3.699</v>
      </c>
      <c r="P100" s="145">
        <f>O100*H100</f>
        <v>9.86245875</v>
      </c>
      <c r="Q100" s="145">
        <v>1.32715</v>
      </c>
      <c r="R100" s="145">
        <f>Q100*H100</f>
        <v>3.5385136875000005</v>
      </c>
      <c r="S100" s="145">
        <v>0</v>
      </c>
      <c r="T100" s="146">
        <f>S100*H100</f>
        <v>0</v>
      </c>
      <c r="U100" s="31"/>
      <c r="V100" s="31"/>
      <c r="W100" s="31"/>
      <c r="X100" s="31"/>
      <c r="Y100" s="31"/>
      <c r="Z100" s="31"/>
      <c r="AA100" s="31"/>
      <c r="AB100" s="31"/>
      <c r="AC100" s="31"/>
      <c r="AD100" s="31"/>
      <c r="AE100" s="31"/>
      <c r="AR100" s="147" t="s">
        <v>152</v>
      </c>
      <c r="AT100" s="147" t="s">
        <v>147</v>
      </c>
      <c r="AU100" s="147" t="s">
        <v>85</v>
      </c>
      <c r="AY100" s="19" t="s">
        <v>144</v>
      </c>
      <c r="BE100" s="148">
        <f>IF(N100="základní",J100,0)</f>
        <v>0</v>
      </c>
      <c r="BF100" s="148">
        <f>IF(N100="snížená",J100,0)</f>
        <v>0</v>
      </c>
      <c r="BG100" s="148">
        <f>IF(N100="zákl. přenesená",J100,0)</f>
        <v>0</v>
      </c>
      <c r="BH100" s="148">
        <f>IF(N100="sníž. přenesená",J100,0)</f>
        <v>0</v>
      </c>
      <c r="BI100" s="148">
        <f>IF(N100="nulová",J100,0)</f>
        <v>0</v>
      </c>
      <c r="BJ100" s="19" t="s">
        <v>83</v>
      </c>
      <c r="BK100" s="148">
        <f>ROUND(I100*H100,2)</f>
        <v>0</v>
      </c>
      <c r="BL100" s="19" t="s">
        <v>152</v>
      </c>
      <c r="BM100" s="147" t="s">
        <v>153</v>
      </c>
    </row>
    <row r="101" spans="2:51" s="13" customFormat="1" ht="12">
      <c r="B101" s="149"/>
      <c r="D101" s="150" t="s">
        <v>154</v>
      </c>
      <c r="E101" s="151" t="s">
        <v>3</v>
      </c>
      <c r="F101" s="152" t="s">
        <v>155</v>
      </c>
      <c r="H101" s="151" t="s">
        <v>3</v>
      </c>
      <c r="L101" s="149"/>
      <c r="M101" s="153"/>
      <c r="N101" s="154"/>
      <c r="O101" s="154"/>
      <c r="P101" s="154"/>
      <c r="Q101" s="154"/>
      <c r="R101" s="154"/>
      <c r="S101" s="154"/>
      <c r="T101" s="155"/>
      <c r="AT101" s="151" t="s">
        <v>154</v>
      </c>
      <c r="AU101" s="151" t="s">
        <v>85</v>
      </c>
      <c r="AV101" s="13" t="s">
        <v>83</v>
      </c>
      <c r="AW101" s="13" t="s">
        <v>37</v>
      </c>
      <c r="AX101" s="13" t="s">
        <v>75</v>
      </c>
      <c r="AY101" s="151" t="s">
        <v>144</v>
      </c>
    </row>
    <row r="102" spans="2:51" s="14" customFormat="1" ht="12">
      <c r="B102" s="156"/>
      <c r="D102" s="150" t="s">
        <v>154</v>
      </c>
      <c r="E102" s="157" t="s">
        <v>3</v>
      </c>
      <c r="F102" s="158" t="s">
        <v>1857</v>
      </c>
      <c r="H102" s="159">
        <f>(1.53*2.5)*0.45+(1*2.1)*0.45</f>
        <v>2.6662500000000002</v>
      </c>
      <c r="L102" s="156"/>
      <c r="M102" s="160"/>
      <c r="N102" s="161"/>
      <c r="O102" s="161"/>
      <c r="P102" s="161"/>
      <c r="Q102" s="161"/>
      <c r="R102" s="161"/>
      <c r="S102" s="161"/>
      <c r="T102" s="162"/>
      <c r="AT102" s="157" t="s">
        <v>154</v>
      </c>
      <c r="AU102" s="157" t="s">
        <v>85</v>
      </c>
      <c r="AV102" s="14" t="s">
        <v>85</v>
      </c>
      <c r="AW102" s="14" t="s">
        <v>37</v>
      </c>
      <c r="AX102" s="14" t="s">
        <v>83</v>
      </c>
      <c r="AY102" s="157" t="s">
        <v>144</v>
      </c>
    </row>
    <row r="103" spans="1:65" s="2" customFormat="1" ht="24.2" customHeight="1">
      <c r="A103" s="31"/>
      <c r="B103" s="136"/>
      <c r="C103" s="137" t="s">
        <v>145</v>
      </c>
      <c r="D103" s="137" t="s">
        <v>147</v>
      </c>
      <c r="E103" s="138" t="s">
        <v>162</v>
      </c>
      <c r="F103" s="139" t="s">
        <v>163</v>
      </c>
      <c r="G103" s="140" t="s">
        <v>150</v>
      </c>
      <c r="H103" s="141">
        <f>H108</f>
        <v>0.141</v>
      </c>
      <c r="I103" s="142"/>
      <c r="J103" s="142">
        <f>ROUND(I103*H103,2)</f>
        <v>0</v>
      </c>
      <c r="K103" s="139" t="s">
        <v>157</v>
      </c>
      <c r="L103" s="32"/>
      <c r="M103" s="143" t="s">
        <v>3</v>
      </c>
      <c r="N103" s="144" t="s">
        <v>46</v>
      </c>
      <c r="O103" s="145">
        <v>6.77</v>
      </c>
      <c r="P103" s="145">
        <f>O103*H103</f>
        <v>0.9545699999999998</v>
      </c>
      <c r="Q103" s="145">
        <v>1.94302</v>
      </c>
      <c r="R103" s="145">
        <f>Q103*H103</f>
        <v>0.27396581999999997</v>
      </c>
      <c r="S103" s="145">
        <v>0</v>
      </c>
      <c r="T103" s="146">
        <f>S103*H103</f>
        <v>0</v>
      </c>
      <c r="U103" s="31"/>
      <c r="V103" s="31"/>
      <c r="W103" s="31"/>
      <c r="X103" s="31"/>
      <c r="Y103" s="31"/>
      <c r="Z103" s="31"/>
      <c r="AA103" s="31"/>
      <c r="AB103" s="31"/>
      <c r="AC103" s="31"/>
      <c r="AD103" s="31"/>
      <c r="AE103" s="31"/>
      <c r="AR103" s="147" t="s">
        <v>152</v>
      </c>
      <c r="AT103" s="147" t="s">
        <v>147</v>
      </c>
      <c r="AU103" s="147" t="s">
        <v>85</v>
      </c>
      <c r="AY103" s="19" t="s">
        <v>144</v>
      </c>
      <c r="BE103" s="148">
        <f>IF(N103="základní",J103,0)</f>
        <v>0</v>
      </c>
      <c r="BF103" s="148">
        <f>IF(N103="snížená",J103,0)</f>
        <v>0</v>
      </c>
      <c r="BG103" s="148">
        <f>IF(N103="zákl. přenesená",J103,0)</f>
        <v>0</v>
      </c>
      <c r="BH103" s="148">
        <f>IF(N103="sníž. přenesená",J103,0)</f>
        <v>0</v>
      </c>
      <c r="BI103" s="148">
        <f>IF(N103="nulová",J103,0)</f>
        <v>0</v>
      </c>
      <c r="BJ103" s="19" t="s">
        <v>83</v>
      </c>
      <c r="BK103" s="148">
        <f>ROUND(I103*H103,2)</f>
        <v>0</v>
      </c>
      <c r="BL103" s="19" t="s">
        <v>152</v>
      </c>
      <c r="BM103" s="147" t="s">
        <v>164</v>
      </c>
    </row>
    <row r="104" spans="1:47" s="2" customFormat="1" ht="97.5">
      <c r="A104" s="31"/>
      <c r="B104" s="32"/>
      <c r="C104" s="31"/>
      <c r="D104" s="150" t="s">
        <v>158</v>
      </c>
      <c r="E104" s="31"/>
      <c r="F104" s="163" t="s">
        <v>165</v>
      </c>
      <c r="G104" s="31"/>
      <c r="H104" s="31"/>
      <c r="I104" s="31"/>
      <c r="J104" s="31"/>
      <c r="K104" s="31"/>
      <c r="L104" s="32"/>
      <c r="M104" s="164"/>
      <c r="N104" s="165"/>
      <c r="O104" s="52"/>
      <c r="P104" s="52"/>
      <c r="Q104" s="52"/>
      <c r="R104" s="52"/>
      <c r="S104" s="52"/>
      <c r="T104" s="53"/>
      <c r="U104" s="31"/>
      <c r="V104" s="31"/>
      <c r="W104" s="31"/>
      <c r="X104" s="31"/>
      <c r="Y104" s="31"/>
      <c r="Z104" s="31"/>
      <c r="AA104" s="31"/>
      <c r="AB104" s="31"/>
      <c r="AC104" s="31"/>
      <c r="AD104" s="31"/>
      <c r="AE104" s="31"/>
      <c r="AT104" s="19" t="s">
        <v>158</v>
      </c>
      <c r="AU104" s="19" t="s">
        <v>85</v>
      </c>
    </row>
    <row r="105" spans="2:51" s="13" customFormat="1" ht="22.5">
      <c r="B105" s="149"/>
      <c r="D105" s="150" t="s">
        <v>154</v>
      </c>
      <c r="E105" s="151" t="s">
        <v>3</v>
      </c>
      <c r="F105" s="152" t="s">
        <v>159</v>
      </c>
      <c r="H105" s="151" t="s">
        <v>3</v>
      </c>
      <c r="L105" s="149"/>
      <c r="M105" s="153"/>
      <c r="N105" s="154"/>
      <c r="O105" s="154"/>
      <c r="P105" s="154"/>
      <c r="Q105" s="154"/>
      <c r="R105" s="154"/>
      <c r="S105" s="154"/>
      <c r="T105" s="155"/>
      <c r="AT105" s="151" t="s">
        <v>154</v>
      </c>
      <c r="AU105" s="151" t="s">
        <v>85</v>
      </c>
      <c r="AV105" s="13" t="s">
        <v>83</v>
      </c>
      <c r="AW105" s="13" t="s">
        <v>37</v>
      </c>
      <c r="AX105" s="13" t="s">
        <v>75</v>
      </c>
      <c r="AY105" s="151" t="s">
        <v>144</v>
      </c>
    </row>
    <row r="106" spans="2:51" s="14" customFormat="1" ht="12">
      <c r="B106" s="156"/>
      <c r="D106" s="150" t="s">
        <v>154</v>
      </c>
      <c r="E106" s="157" t="s">
        <v>3</v>
      </c>
      <c r="F106" s="158" t="s">
        <v>1860</v>
      </c>
      <c r="H106" s="159">
        <f>9*1.2*0.1*0.1</f>
        <v>0.10799999999999998</v>
      </c>
      <c r="L106" s="156"/>
      <c r="M106" s="160"/>
      <c r="N106" s="161"/>
      <c r="O106" s="161"/>
      <c r="P106" s="161"/>
      <c r="Q106" s="161"/>
      <c r="R106" s="161"/>
      <c r="S106" s="161"/>
      <c r="T106" s="162"/>
      <c r="AT106" s="157" t="s">
        <v>154</v>
      </c>
      <c r="AU106" s="157" t="s">
        <v>85</v>
      </c>
      <c r="AV106" s="14" t="s">
        <v>85</v>
      </c>
      <c r="AW106" s="14" t="s">
        <v>37</v>
      </c>
      <c r="AX106" s="14" t="s">
        <v>75</v>
      </c>
      <c r="AY106" s="157" t="s">
        <v>144</v>
      </c>
    </row>
    <row r="107" spans="2:51" s="14" customFormat="1" ht="12">
      <c r="B107" s="156"/>
      <c r="D107" s="150" t="s">
        <v>154</v>
      </c>
      <c r="E107" s="157" t="s">
        <v>3</v>
      </c>
      <c r="F107" s="158" t="s">
        <v>1861</v>
      </c>
      <c r="H107" s="159">
        <f>3*1.1*0.1*0.1</f>
        <v>0.03300000000000001</v>
      </c>
      <c r="L107" s="156"/>
      <c r="M107" s="160"/>
      <c r="N107" s="161"/>
      <c r="O107" s="161"/>
      <c r="P107" s="161"/>
      <c r="Q107" s="161"/>
      <c r="R107" s="161"/>
      <c r="S107" s="161"/>
      <c r="T107" s="162"/>
      <c r="AT107" s="157" t="s">
        <v>154</v>
      </c>
      <c r="AU107" s="157" t="s">
        <v>85</v>
      </c>
      <c r="AV107" s="14" t="s">
        <v>85</v>
      </c>
      <c r="AW107" s="14" t="s">
        <v>37</v>
      </c>
      <c r="AX107" s="14" t="s">
        <v>75</v>
      </c>
      <c r="AY107" s="157" t="s">
        <v>144</v>
      </c>
    </row>
    <row r="108" spans="2:51" s="15" customFormat="1" ht="12">
      <c r="B108" s="166"/>
      <c r="D108" s="150" t="s">
        <v>154</v>
      </c>
      <c r="E108" s="167" t="s">
        <v>3</v>
      </c>
      <c r="F108" s="168" t="s">
        <v>161</v>
      </c>
      <c r="H108" s="169">
        <f>H106+H107</f>
        <v>0.141</v>
      </c>
      <c r="L108" s="166"/>
      <c r="M108" s="170"/>
      <c r="N108" s="171"/>
      <c r="O108" s="171"/>
      <c r="P108" s="171"/>
      <c r="Q108" s="171"/>
      <c r="R108" s="171"/>
      <c r="S108" s="171"/>
      <c r="T108" s="172"/>
      <c r="AT108" s="167" t="s">
        <v>154</v>
      </c>
      <c r="AU108" s="167" t="s">
        <v>85</v>
      </c>
      <c r="AV108" s="15" t="s">
        <v>152</v>
      </c>
      <c r="AW108" s="15" t="s">
        <v>37</v>
      </c>
      <c r="AX108" s="15" t="s">
        <v>83</v>
      </c>
      <c r="AY108" s="167" t="s">
        <v>144</v>
      </c>
    </row>
    <row r="109" spans="1:65" s="2" customFormat="1" ht="37.9" customHeight="1">
      <c r="A109" s="31"/>
      <c r="B109" s="136"/>
      <c r="C109" s="137" t="s">
        <v>152</v>
      </c>
      <c r="D109" s="137" t="s">
        <v>147</v>
      </c>
      <c r="E109" s="138" t="s">
        <v>168</v>
      </c>
      <c r="F109" s="139" t="s">
        <v>169</v>
      </c>
      <c r="G109" s="140" t="s">
        <v>170</v>
      </c>
      <c r="H109" s="141">
        <f>H114</f>
        <v>0.16750800000000002</v>
      </c>
      <c r="I109" s="142"/>
      <c r="J109" s="142">
        <f>ROUND(I109*H109,2)</f>
        <v>0</v>
      </c>
      <c r="K109" s="139" t="s">
        <v>157</v>
      </c>
      <c r="L109" s="32"/>
      <c r="M109" s="143" t="s">
        <v>3</v>
      </c>
      <c r="N109" s="144" t="s">
        <v>46</v>
      </c>
      <c r="O109" s="145">
        <v>18.175</v>
      </c>
      <c r="P109" s="145">
        <f>O109*H109</f>
        <v>3.0444579000000003</v>
      </c>
      <c r="Q109" s="145">
        <v>0.01954</v>
      </c>
      <c r="R109" s="145">
        <f>Q109*H109</f>
        <v>0.00327310632</v>
      </c>
      <c r="S109" s="145">
        <v>0</v>
      </c>
      <c r="T109" s="146">
        <f>S109*H109</f>
        <v>0</v>
      </c>
      <c r="U109" s="31"/>
      <c r="V109" s="31"/>
      <c r="W109" s="31"/>
      <c r="X109" s="31"/>
      <c r="Y109" s="31"/>
      <c r="Z109" s="31"/>
      <c r="AA109" s="31"/>
      <c r="AB109" s="31"/>
      <c r="AC109" s="31"/>
      <c r="AD109" s="31"/>
      <c r="AE109" s="31"/>
      <c r="AR109" s="147" t="s">
        <v>152</v>
      </c>
      <c r="AT109" s="147" t="s">
        <v>147</v>
      </c>
      <c r="AU109" s="147" t="s">
        <v>85</v>
      </c>
      <c r="AY109" s="19" t="s">
        <v>144</v>
      </c>
      <c r="BE109" s="148">
        <f>IF(N109="základní",J109,0)</f>
        <v>0</v>
      </c>
      <c r="BF109" s="148">
        <f>IF(N109="snížená",J109,0)</f>
        <v>0</v>
      </c>
      <c r="BG109" s="148">
        <f>IF(N109="zákl. přenesená",J109,0)</f>
        <v>0</v>
      </c>
      <c r="BH109" s="148">
        <f>IF(N109="sníž. přenesená",J109,0)</f>
        <v>0</v>
      </c>
      <c r="BI109" s="148">
        <f>IF(N109="nulová",J109,0)</f>
        <v>0</v>
      </c>
      <c r="BJ109" s="19" t="s">
        <v>83</v>
      </c>
      <c r="BK109" s="148">
        <f>ROUND(I109*H109,2)</f>
        <v>0</v>
      </c>
      <c r="BL109" s="19" t="s">
        <v>152</v>
      </c>
      <c r="BM109" s="147" t="s">
        <v>171</v>
      </c>
    </row>
    <row r="110" spans="1:47" s="2" customFormat="1" ht="78">
      <c r="A110" s="31"/>
      <c r="B110" s="32"/>
      <c r="C110" s="31"/>
      <c r="D110" s="150" t="s">
        <v>158</v>
      </c>
      <c r="E110" s="31"/>
      <c r="F110" s="163" t="s">
        <v>172</v>
      </c>
      <c r="G110" s="31"/>
      <c r="H110" s="31"/>
      <c r="I110" s="31"/>
      <c r="J110" s="31"/>
      <c r="K110" s="31"/>
      <c r="L110" s="32"/>
      <c r="M110" s="164"/>
      <c r="N110" s="165"/>
      <c r="O110" s="52"/>
      <c r="P110" s="52"/>
      <c r="Q110" s="52"/>
      <c r="R110" s="52"/>
      <c r="S110" s="52"/>
      <c r="T110" s="53"/>
      <c r="U110" s="31"/>
      <c r="V110" s="31"/>
      <c r="W110" s="31"/>
      <c r="X110" s="31"/>
      <c r="Y110" s="31"/>
      <c r="Z110" s="31"/>
      <c r="AA110" s="31"/>
      <c r="AB110" s="31"/>
      <c r="AC110" s="31"/>
      <c r="AD110" s="31"/>
      <c r="AE110" s="31"/>
      <c r="AT110" s="19" t="s">
        <v>158</v>
      </c>
      <c r="AU110" s="19" t="s">
        <v>85</v>
      </c>
    </row>
    <row r="111" spans="2:51" s="13" customFormat="1" ht="22.5">
      <c r="B111" s="149"/>
      <c r="D111" s="150" t="s">
        <v>154</v>
      </c>
      <c r="E111" s="151" t="s">
        <v>3</v>
      </c>
      <c r="F111" s="152" t="s">
        <v>159</v>
      </c>
      <c r="H111" s="151" t="s">
        <v>3</v>
      </c>
      <c r="L111" s="149"/>
      <c r="M111" s="153"/>
      <c r="N111" s="154"/>
      <c r="O111" s="154"/>
      <c r="P111" s="154"/>
      <c r="Q111" s="154"/>
      <c r="R111" s="154"/>
      <c r="S111" s="154"/>
      <c r="T111" s="155"/>
      <c r="AT111" s="151" t="s">
        <v>154</v>
      </c>
      <c r="AU111" s="151" t="s">
        <v>85</v>
      </c>
      <c r="AV111" s="13" t="s">
        <v>83</v>
      </c>
      <c r="AW111" s="13" t="s">
        <v>37</v>
      </c>
      <c r="AX111" s="13" t="s">
        <v>75</v>
      </c>
      <c r="AY111" s="151" t="s">
        <v>144</v>
      </c>
    </row>
    <row r="112" spans="2:51" s="14" customFormat="1" ht="12">
      <c r="B112" s="156"/>
      <c r="D112" s="150" t="s">
        <v>154</v>
      </c>
      <c r="E112" s="157" t="s">
        <v>3</v>
      </c>
      <c r="F112" s="158" t="s">
        <v>1862</v>
      </c>
      <c r="H112" s="159">
        <f>9*(2*1.2)*5.94/1000</f>
        <v>0.128304</v>
      </c>
      <c r="L112" s="156"/>
      <c r="M112" s="160"/>
      <c r="N112" s="161"/>
      <c r="O112" s="161"/>
      <c r="P112" s="161"/>
      <c r="Q112" s="161"/>
      <c r="R112" s="161"/>
      <c r="S112" s="161"/>
      <c r="T112" s="162"/>
      <c r="AT112" s="157" t="s">
        <v>154</v>
      </c>
      <c r="AU112" s="157" t="s">
        <v>85</v>
      </c>
      <c r="AV112" s="14" t="s">
        <v>85</v>
      </c>
      <c r="AW112" s="14" t="s">
        <v>37</v>
      </c>
      <c r="AX112" s="14" t="s">
        <v>75</v>
      </c>
      <c r="AY112" s="157" t="s">
        <v>144</v>
      </c>
    </row>
    <row r="113" spans="2:51" s="14" customFormat="1" ht="12">
      <c r="B113" s="156"/>
      <c r="D113" s="150" t="s">
        <v>154</v>
      </c>
      <c r="E113" s="157" t="s">
        <v>3</v>
      </c>
      <c r="F113" s="158" t="s">
        <v>1863</v>
      </c>
      <c r="H113" s="159">
        <f>3*(2*1.1)*5.94/1000</f>
        <v>0.03920400000000001</v>
      </c>
      <c r="L113" s="156"/>
      <c r="M113" s="160"/>
      <c r="N113" s="161"/>
      <c r="O113" s="161"/>
      <c r="P113" s="161"/>
      <c r="Q113" s="161"/>
      <c r="R113" s="161"/>
      <c r="S113" s="161"/>
      <c r="T113" s="162"/>
      <c r="AT113" s="157" t="s">
        <v>154</v>
      </c>
      <c r="AU113" s="157" t="s">
        <v>85</v>
      </c>
      <c r="AV113" s="14" t="s">
        <v>85</v>
      </c>
      <c r="AW113" s="14" t="s">
        <v>37</v>
      </c>
      <c r="AX113" s="14" t="s">
        <v>75</v>
      </c>
      <c r="AY113" s="157" t="s">
        <v>144</v>
      </c>
    </row>
    <row r="114" spans="2:51" s="15" customFormat="1" ht="12">
      <c r="B114" s="166"/>
      <c r="D114" s="150" t="s">
        <v>154</v>
      </c>
      <c r="E114" s="167" t="s">
        <v>3</v>
      </c>
      <c r="F114" s="168" t="s">
        <v>161</v>
      </c>
      <c r="H114" s="169">
        <f>H112+H113</f>
        <v>0.16750800000000002</v>
      </c>
      <c r="L114" s="166"/>
      <c r="M114" s="170"/>
      <c r="N114" s="171"/>
      <c r="O114" s="171"/>
      <c r="P114" s="171"/>
      <c r="Q114" s="171"/>
      <c r="R114" s="171"/>
      <c r="S114" s="171"/>
      <c r="T114" s="172"/>
      <c r="AT114" s="167" t="s">
        <v>154</v>
      </c>
      <c r="AU114" s="167" t="s">
        <v>85</v>
      </c>
      <c r="AV114" s="15" t="s">
        <v>152</v>
      </c>
      <c r="AW114" s="15" t="s">
        <v>37</v>
      </c>
      <c r="AX114" s="15" t="s">
        <v>83</v>
      </c>
      <c r="AY114" s="167" t="s">
        <v>144</v>
      </c>
    </row>
    <row r="115" spans="1:65" s="2" customFormat="1" ht="14.45" customHeight="1">
      <c r="A115" s="31"/>
      <c r="B115" s="136"/>
      <c r="C115" s="173" t="s">
        <v>173</v>
      </c>
      <c r="D115" s="173" t="s">
        <v>174</v>
      </c>
      <c r="E115" s="174" t="s">
        <v>175</v>
      </c>
      <c r="F115" s="175" t="s">
        <v>176</v>
      </c>
      <c r="G115" s="176" t="s">
        <v>170</v>
      </c>
      <c r="H115" s="177">
        <f>H109</f>
        <v>0.16750800000000002</v>
      </c>
      <c r="I115" s="178"/>
      <c r="J115" s="178">
        <f>ROUND(I115*H115,2)</f>
        <v>0</v>
      </c>
      <c r="K115" s="175" t="s">
        <v>157</v>
      </c>
      <c r="L115" s="179"/>
      <c r="M115" s="180" t="s">
        <v>3</v>
      </c>
      <c r="N115" s="181" t="s">
        <v>46</v>
      </c>
      <c r="O115" s="145">
        <v>0</v>
      </c>
      <c r="P115" s="145">
        <f>O115*H115</f>
        <v>0</v>
      </c>
      <c r="Q115" s="145">
        <v>1</v>
      </c>
      <c r="R115" s="145">
        <f>Q115*H115</f>
        <v>0.16750800000000002</v>
      </c>
      <c r="S115" s="145">
        <v>0</v>
      </c>
      <c r="T115" s="146">
        <f>S115*H115</f>
        <v>0</v>
      </c>
      <c r="U115" s="31"/>
      <c r="V115" s="31"/>
      <c r="W115" s="31"/>
      <c r="X115" s="31"/>
      <c r="Y115" s="31"/>
      <c r="Z115" s="31"/>
      <c r="AA115" s="31"/>
      <c r="AB115" s="31"/>
      <c r="AC115" s="31"/>
      <c r="AD115" s="31"/>
      <c r="AE115" s="31"/>
      <c r="AR115" s="147" t="s">
        <v>177</v>
      </c>
      <c r="AT115" s="147" t="s">
        <v>174</v>
      </c>
      <c r="AU115" s="147" t="s">
        <v>85</v>
      </c>
      <c r="AY115" s="19" t="s">
        <v>144</v>
      </c>
      <c r="BE115" s="148">
        <f>IF(N115="základní",J115,0)</f>
        <v>0</v>
      </c>
      <c r="BF115" s="148">
        <f>IF(N115="snížená",J115,0)</f>
        <v>0</v>
      </c>
      <c r="BG115" s="148">
        <f>IF(N115="zákl. přenesená",J115,0)</f>
        <v>0</v>
      </c>
      <c r="BH115" s="148">
        <f>IF(N115="sníž. přenesená",J115,0)</f>
        <v>0</v>
      </c>
      <c r="BI115" s="148">
        <f>IF(N115="nulová",J115,0)</f>
        <v>0</v>
      </c>
      <c r="BJ115" s="19" t="s">
        <v>83</v>
      </c>
      <c r="BK115" s="148">
        <f>ROUND(I115*H115,2)</f>
        <v>0</v>
      </c>
      <c r="BL115" s="19" t="s">
        <v>152</v>
      </c>
      <c r="BM115" s="147" t="s">
        <v>178</v>
      </c>
    </row>
    <row r="116" spans="1:65" s="2" customFormat="1" ht="49.15" customHeight="1">
      <c r="A116" s="31"/>
      <c r="B116" s="136"/>
      <c r="C116" s="137" t="s">
        <v>180</v>
      </c>
      <c r="D116" s="137" t="s">
        <v>147</v>
      </c>
      <c r="E116" s="138" t="s">
        <v>181</v>
      </c>
      <c r="F116" s="139" t="s">
        <v>182</v>
      </c>
      <c r="G116" s="140" t="s">
        <v>183</v>
      </c>
      <c r="H116" s="141">
        <f>H118</f>
        <v>1.379</v>
      </c>
      <c r="I116" s="142"/>
      <c r="J116" s="142">
        <f>ROUND(I116*H116,2)</f>
        <v>0</v>
      </c>
      <c r="K116" s="139" t="s">
        <v>157</v>
      </c>
      <c r="L116" s="32"/>
      <c r="M116" s="143" t="s">
        <v>3</v>
      </c>
      <c r="N116" s="144" t="s">
        <v>46</v>
      </c>
      <c r="O116" s="145">
        <v>0.68</v>
      </c>
      <c r="P116" s="145">
        <f>O116*H116</f>
        <v>0.9377200000000001</v>
      </c>
      <c r="Q116" s="145">
        <v>0.06307</v>
      </c>
      <c r="R116" s="145">
        <f>Q116*H116</f>
        <v>0.08697353000000001</v>
      </c>
      <c r="S116" s="145">
        <v>0</v>
      </c>
      <c r="T116" s="146">
        <f>S116*H116</f>
        <v>0</v>
      </c>
      <c r="U116" s="31"/>
      <c r="V116" s="31"/>
      <c r="W116" s="31"/>
      <c r="X116" s="31"/>
      <c r="Y116" s="31"/>
      <c r="Z116" s="31"/>
      <c r="AA116" s="31"/>
      <c r="AB116" s="31"/>
      <c r="AC116" s="31"/>
      <c r="AD116" s="31"/>
      <c r="AE116" s="31"/>
      <c r="AR116" s="147" t="s">
        <v>152</v>
      </c>
      <c r="AT116" s="147" t="s">
        <v>147</v>
      </c>
      <c r="AU116" s="147" t="s">
        <v>85</v>
      </c>
      <c r="AY116" s="19" t="s">
        <v>144</v>
      </c>
      <c r="BE116" s="148">
        <f>IF(N116="základní",J116,0)</f>
        <v>0</v>
      </c>
      <c r="BF116" s="148">
        <f>IF(N116="snížená",J116,0)</f>
        <v>0</v>
      </c>
      <c r="BG116" s="148">
        <f>IF(N116="zákl. přenesená",J116,0)</f>
        <v>0</v>
      </c>
      <c r="BH116" s="148">
        <f>IF(N116="sníž. přenesená",J116,0)</f>
        <v>0</v>
      </c>
      <c r="BI116" s="148">
        <f>IF(N116="nulová",J116,0)</f>
        <v>0</v>
      </c>
      <c r="BJ116" s="19" t="s">
        <v>83</v>
      </c>
      <c r="BK116" s="148">
        <f>ROUND(I116*H116,2)</f>
        <v>0</v>
      </c>
      <c r="BL116" s="19" t="s">
        <v>152</v>
      </c>
      <c r="BM116" s="147" t="s">
        <v>184</v>
      </c>
    </row>
    <row r="117" spans="2:51" s="13" customFormat="1" ht="12">
      <c r="B117" s="149"/>
      <c r="D117" s="150" t="s">
        <v>154</v>
      </c>
      <c r="E117" s="151" t="s">
        <v>3</v>
      </c>
      <c r="F117" s="152" t="s">
        <v>155</v>
      </c>
      <c r="H117" s="151" t="s">
        <v>3</v>
      </c>
      <c r="L117" s="149"/>
      <c r="M117" s="153"/>
      <c r="N117" s="154"/>
      <c r="O117" s="154"/>
      <c r="P117" s="154"/>
      <c r="Q117" s="154"/>
      <c r="R117" s="154"/>
      <c r="S117" s="154"/>
      <c r="T117" s="155"/>
      <c r="AT117" s="151" t="s">
        <v>154</v>
      </c>
      <c r="AU117" s="151" t="s">
        <v>85</v>
      </c>
      <c r="AV117" s="13" t="s">
        <v>83</v>
      </c>
      <c r="AW117" s="13" t="s">
        <v>37</v>
      </c>
      <c r="AX117" s="13" t="s">
        <v>75</v>
      </c>
      <c r="AY117" s="151" t="s">
        <v>144</v>
      </c>
    </row>
    <row r="118" spans="2:51" s="14" customFormat="1" ht="12">
      <c r="B118" s="156"/>
      <c r="D118" s="150" t="s">
        <v>154</v>
      </c>
      <c r="E118" s="157" t="s">
        <v>3</v>
      </c>
      <c r="F118" s="158" t="s">
        <v>1858</v>
      </c>
      <c r="H118" s="159">
        <f>0.4*0.56+0.35*2.1+0.2*2.1</f>
        <v>1.379</v>
      </c>
      <c r="L118" s="156"/>
      <c r="M118" s="160"/>
      <c r="N118" s="161"/>
      <c r="O118" s="161"/>
      <c r="P118" s="161"/>
      <c r="Q118" s="161"/>
      <c r="R118" s="161"/>
      <c r="S118" s="161"/>
      <c r="T118" s="162"/>
      <c r="AT118" s="157" t="s">
        <v>154</v>
      </c>
      <c r="AU118" s="157" t="s">
        <v>85</v>
      </c>
      <c r="AV118" s="14" t="s">
        <v>85</v>
      </c>
      <c r="AW118" s="14" t="s">
        <v>37</v>
      </c>
      <c r="AX118" s="14" t="s">
        <v>83</v>
      </c>
      <c r="AY118" s="157" t="s">
        <v>144</v>
      </c>
    </row>
    <row r="119" spans="1:65" s="2" customFormat="1" ht="49.15" customHeight="1">
      <c r="A119" s="31"/>
      <c r="B119" s="136"/>
      <c r="C119" s="137" t="s">
        <v>177</v>
      </c>
      <c r="D119" s="137" t="s">
        <v>147</v>
      </c>
      <c r="E119" s="138" t="s">
        <v>185</v>
      </c>
      <c r="F119" s="139" t="s">
        <v>186</v>
      </c>
      <c r="G119" s="140" t="s">
        <v>183</v>
      </c>
      <c r="H119" s="141">
        <f>H121</f>
        <v>1.8900000000000001</v>
      </c>
      <c r="I119" s="142"/>
      <c r="J119" s="142">
        <f>ROUND(I119*H119,2)</f>
        <v>0</v>
      </c>
      <c r="K119" s="139" t="s">
        <v>157</v>
      </c>
      <c r="L119" s="32"/>
      <c r="M119" s="143" t="s">
        <v>3</v>
      </c>
      <c r="N119" s="144" t="s">
        <v>46</v>
      </c>
      <c r="O119" s="145">
        <v>0.567</v>
      </c>
      <c r="P119" s="145">
        <f>O119*H119</f>
        <v>1.07163</v>
      </c>
      <c r="Q119" s="145">
        <v>0.06197</v>
      </c>
      <c r="R119" s="145">
        <f>Q119*H119</f>
        <v>0.1171233</v>
      </c>
      <c r="S119" s="145">
        <v>0</v>
      </c>
      <c r="T119" s="146">
        <f>S119*H119</f>
        <v>0</v>
      </c>
      <c r="U119" s="31"/>
      <c r="V119" s="31"/>
      <c r="W119" s="31"/>
      <c r="X119" s="31"/>
      <c r="Y119" s="31"/>
      <c r="Z119" s="31"/>
      <c r="AA119" s="31"/>
      <c r="AB119" s="31"/>
      <c r="AC119" s="31"/>
      <c r="AD119" s="31"/>
      <c r="AE119" s="31"/>
      <c r="AR119" s="147" t="s">
        <v>152</v>
      </c>
      <c r="AT119" s="147" t="s">
        <v>147</v>
      </c>
      <c r="AU119" s="147" t="s">
        <v>85</v>
      </c>
      <c r="AY119" s="19" t="s">
        <v>144</v>
      </c>
      <c r="BE119" s="148">
        <f>IF(N119="základní",J119,0)</f>
        <v>0</v>
      </c>
      <c r="BF119" s="148">
        <f>IF(N119="snížená",J119,0)</f>
        <v>0</v>
      </c>
      <c r="BG119" s="148">
        <f>IF(N119="zákl. přenesená",J119,0)</f>
        <v>0</v>
      </c>
      <c r="BH119" s="148">
        <f>IF(N119="sníž. přenesená",J119,0)</f>
        <v>0</v>
      </c>
      <c r="BI119" s="148">
        <f>IF(N119="nulová",J119,0)</f>
        <v>0</v>
      </c>
      <c r="BJ119" s="19" t="s">
        <v>83</v>
      </c>
      <c r="BK119" s="148">
        <f>ROUND(I119*H119,2)</f>
        <v>0</v>
      </c>
      <c r="BL119" s="19" t="s">
        <v>152</v>
      </c>
      <c r="BM119" s="147" t="s">
        <v>187</v>
      </c>
    </row>
    <row r="120" spans="2:51" s="13" customFormat="1" ht="12">
      <c r="B120" s="149"/>
      <c r="D120" s="150" t="s">
        <v>154</v>
      </c>
      <c r="E120" s="151" t="s">
        <v>3</v>
      </c>
      <c r="F120" s="152" t="s">
        <v>155</v>
      </c>
      <c r="H120" s="151" t="s">
        <v>3</v>
      </c>
      <c r="L120" s="149"/>
      <c r="M120" s="153"/>
      <c r="N120" s="154"/>
      <c r="O120" s="154"/>
      <c r="P120" s="154"/>
      <c r="Q120" s="154"/>
      <c r="R120" s="154"/>
      <c r="S120" s="154"/>
      <c r="T120" s="155"/>
      <c r="AT120" s="151" t="s">
        <v>154</v>
      </c>
      <c r="AU120" s="151" t="s">
        <v>85</v>
      </c>
      <c r="AV120" s="13" t="s">
        <v>83</v>
      </c>
      <c r="AW120" s="13" t="s">
        <v>37</v>
      </c>
      <c r="AX120" s="13" t="s">
        <v>75</v>
      </c>
      <c r="AY120" s="151" t="s">
        <v>144</v>
      </c>
    </row>
    <row r="121" spans="2:51" s="14" customFormat="1" ht="12">
      <c r="B121" s="156"/>
      <c r="D121" s="150" t="s">
        <v>154</v>
      </c>
      <c r="E121" s="157" t="s">
        <v>3</v>
      </c>
      <c r="F121" s="158" t="s">
        <v>1859</v>
      </c>
      <c r="H121" s="159">
        <f>(0.9)*2.1</f>
        <v>1.8900000000000001</v>
      </c>
      <c r="L121" s="156"/>
      <c r="M121" s="160"/>
      <c r="N121" s="161"/>
      <c r="O121" s="161"/>
      <c r="P121" s="161"/>
      <c r="Q121" s="161"/>
      <c r="R121" s="161"/>
      <c r="S121" s="161"/>
      <c r="T121" s="162"/>
      <c r="AT121" s="157" t="s">
        <v>154</v>
      </c>
      <c r="AU121" s="157" t="s">
        <v>85</v>
      </c>
      <c r="AV121" s="14" t="s">
        <v>85</v>
      </c>
      <c r="AW121" s="14" t="s">
        <v>37</v>
      </c>
      <c r="AX121" s="14" t="s">
        <v>75</v>
      </c>
      <c r="AY121" s="157" t="s">
        <v>144</v>
      </c>
    </row>
    <row r="122" spans="1:65" s="2" customFormat="1" ht="37.9" customHeight="1">
      <c r="A122" s="31"/>
      <c r="B122" s="136"/>
      <c r="C122" s="137" t="s">
        <v>189</v>
      </c>
      <c r="D122" s="137" t="s">
        <v>147</v>
      </c>
      <c r="E122" s="138" t="s">
        <v>190</v>
      </c>
      <c r="F122" s="139" t="s">
        <v>191</v>
      </c>
      <c r="G122" s="140" t="s">
        <v>183</v>
      </c>
      <c r="H122" s="141">
        <f>H129</f>
        <v>55.04279999999999</v>
      </c>
      <c r="I122" s="142"/>
      <c r="J122" s="142">
        <f>ROUND(I122*H122,2)</f>
        <v>0</v>
      </c>
      <c r="K122" s="139" t="s">
        <v>157</v>
      </c>
      <c r="L122" s="32"/>
      <c r="M122" s="143" t="s">
        <v>3</v>
      </c>
      <c r="N122" s="144" t="s">
        <v>46</v>
      </c>
      <c r="O122" s="145">
        <v>0.525</v>
      </c>
      <c r="P122" s="145">
        <f>O122*H122</f>
        <v>28.89747</v>
      </c>
      <c r="Q122" s="145">
        <v>0.05897</v>
      </c>
      <c r="R122" s="145">
        <f>Q122*H122</f>
        <v>3.245873916</v>
      </c>
      <c r="S122" s="145">
        <v>0</v>
      </c>
      <c r="T122" s="146">
        <f>S122*H122</f>
        <v>0</v>
      </c>
      <c r="U122" s="31"/>
      <c r="V122" s="31"/>
      <c r="W122" s="31"/>
      <c r="X122" s="31"/>
      <c r="Y122" s="31"/>
      <c r="Z122" s="31"/>
      <c r="AA122" s="31"/>
      <c r="AB122" s="31"/>
      <c r="AC122" s="31"/>
      <c r="AD122" s="31"/>
      <c r="AE122" s="31"/>
      <c r="AR122" s="147" t="s">
        <v>152</v>
      </c>
      <c r="AT122" s="147" t="s">
        <v>147</v>
      </c>
      <c r="AU122" s="147" t="s">
        <v>85</v>
      </c>
      <c r="AY122" s="19" t="s">
        <v>144</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152</v>
      </c>
      <c r="BM122" s="147" t="s">
        <v>192</v>
      </c>
    </row>
    <row r="123" spans="2:51" s="13" customFormat="1" ht="12">
      <c r="B123" s="149"/>
      <c r="D123" s="150" t="s">
        <v>154</v>
      </c>
      <c r="E123" s="151" t="s">
        <v>3</v>
      </c>
      <c r="F123" s="152" t="s">
        <v>155</v>
      </c>
      <c r="H123" s="151" t="s">
        <v>3</v>
      </c>
      <c r="L123" s="149"/>
      <c r="M123" s="153"/>
      <c r="N123" s="154"/>
      <c r="O123" s="154"/>
      <c r="P123" s="154"/>
      <c r="Q123" s="154"/>
      <c r="R123" s="154"/>
      <c r="S123" s="154"/>
      <c r="T123" s="155"/>
      <c r="AT123" s="151" t="s">
        <v>154</v>
      </c>
      <c r="AU123" s="151" t="s">
        <v>85</v>
      </c>
      <c r="AV123" s="13" t="s">
        <v>83</v>
      </c>
      <c r="AW123" s="13" t="s">
        <v>37</v>
      </c>
      <c r="AX123" s="13" t="s">
        <v>75</v>
      </c>
      <c r="AY123" s="151" t="s">
        <v>144</v>
      </c>
    </row>
    <row r="124" spans="2:51" s="13" customFormat="1" ht="12">
      <c r="B124" s="149"/>
      <c r="D124" s="150" t="s">
        <v>154</v>
      </c>
      <c r="E124" s="151" t="s">
        <v>3</v>
      </c>
      <c r="F124" s="152" t="s">
        <v>166</v>
      </c>
      <c r="H124" s="151" t="s">
        <v>3</v>
      </c>
      <c r="L124" s="149"/>
      <c r="M124" s="153"/>
      <c r="N124" s="154"/>
      <c r="O124" s="154"/>
      <c r="P124" s="154"/>
      <c r="Q124" s="154"/>
      <c r="R124" s="154"/>
      <c r="S124" s="154"/>
      <c r="T124" s="155"/>
      <c r="AT124" s="151" t="s">
        <v>154</v>
      </c>
      <c r="AU124" s="151" t="s">
        <v>85</v>
      </c>
      <c r="AV124" s="13" t="s">
        <v>83</v>
      </c>
      <c r="AW124" s="13" t="s">
        <v>37</v>
      </c>
      <c r="AX124" s="13" t="s">
        <v>75</v>
      </c>
      <c r="AY124" s="151" t="s">
        <v>144</v>
      </c>
    </row>
    <row r="125" spans="2:51" s="14" customFormat="1" ht="12">
      <c r="B125" s="156"/>
      <c r="D125" s="150" t="s">
        <v>154</v>
      </c>
      <c r="E125" s="157" t="s">
        <v>3</v>
      </c>
      <c r="F125" s="158" t="s">
        <v>1864</v>
      </c>
      <c r="H125" s="159">
        <f>3.9*3+2.4*1.4</f>
        <v>15.059999999999999</v>
      </c>
      <c r="L125" s="156"/>
      <c r="M125" s="160"/>
      <c r="N125" s="161"/>
      <c r="O125" s="161"/>
      <c r="P125" s="161"/>
      <c r="Q125" s="161"/>
      <c r="R125" s="161"/>
      <c r="S125" s="161"/>
      <c r="T125" s="162"/>
      <c r="AT125" s="157" t="s">
        <v>154</v>
      </c>
      <c r="AU125" s="157" t="s">
        <v>85</v>
      </c>
      <c r="AV125" s="14" t="s">
        <v>85</v>
      </c>
      <c r="AW125" s="14" t="s">
        <v>37</v>
      </c>
      <c r="AX125" s="14" t="s">
        <v>75</v>
      </c>
      <c r="AY125" s="157" t="s">
        <v>144</v>
      </c>
    </row>
    <row r="126" spans="2:51" s="14" customFormat="1" ht="12">
      <c r="B126" s="156"/>
      <c r="D126" s="150" t="s">
        <v>154</v>
      </c>
      <c r="E126" s="157" t="s">
        <v>3</v>
      </c>
      <c r="F126" s="158" t="s">
        <v>1865</v>
      </c>
      <c r="H126" s="159">
        <f>(3.05+0.9+0.9)*0.9</f>
        <v>4.365</v>
      </c>
      <c r="L126" s="156"/>
      <c r="M126" s="160"/>
      <c r="N126" s="161"/>
      <c r="O126" s="161"/>
      <c r="P126" s="161"/>
      <c r="Q126" s="161"/>
      <c r="R126" s="161"/>
      <c r="S126" s="161"/>
      <c r="T126" s="162"/>
      <c r="AT126" s="157" t="s">
        <v>154</v>
      </c>
      <c r="AU126" s="157" t="s">
        <v>85</v>
      </c>
      <c r="AV126" s="14" t="s">
        <v>85</v>
      </c>
      <c r="AW126" s="14" t="s">
        <v>37</v>
      </c>
      <c r="AX126" s="14" t="s">
        <v>75</v>
      </c>
      <c r="AY126" s="157" t="s">
        <v>144</v>
      </c>
    </row>
    <row r="127" spans="2:51" s="13" customFormat="1" ht="12">
      <c r="B127" s="149"/>
      <c r="D127" s="150" t="s">
        <v>154</v>
      </c>
      <c r="E127" s="151" t="s">
        <v>3</v>
      </c>
      <c r="F127" s="152" t="s">
        <v>167</v>
      </c>
      <c r="H127" s="151" t="s">
        <v>3</v>
      </c>
      <c r="L127" s="149"/>
      <c r="M127" s="153"/>
      <c r="N127" s="154"/>
      <c r="O127" s="154"/>
      <c r="P127" s="154"/>
      <c r="Q127" s="154"/>
      <c r="R127" s="154"/>
      <c r="S127" s="154"/>
      <c r="T127" s="155"/>
      <c r="AT127" s="151" t="s">
        <v>154</v>
      </c>
      <c r="AU127" s="151" t="s">
        <v>85</v>
      </c>
      <c r="AV127" s="13" t="s">
        <v>83</v>
      </c>
      <c r="AW127" s="13" t="s">
        <v>37</v>
      </c>
      <c r="AX127" s="13" t="s">
        <v>75</v>
      </c>
      <c r="AY127" s="151" t="s">
        <v>144</v>
      </c>
    </row>
    <row r="128" spans="2:51" s="14" customFormat="1" ht="12">
      <c r="B128" s="156"/>
      <c r="D128" s="150" t="s">
        <v>154</v>
      </c>
      <c r="E128" s="157" t="s">
        <v>3</v>
      </c>
      <c r="F128" s="158" t="s">
        <v>1866</v>
      </c>
      <c r="H128" s="159">
        <f>(3.9+2*3.92+1.6)*2.67</f>
        <v>35.617799999999995</v>
      </c>
      <c r="L128" s="156"/>
      <c r="M128" s="160"/>
      <c r="N128" s="161"/>
      <c r="O128" s="161"/>
      <c r="P128" s="161"/>
      <c r="Q128" s="161"/>
      <c r="R128" s="161"/>
      <c r="S128" s="161"/>
      <c r="T128" s="162"/>
      <c r="AT128" s="157" t="s">
        <v>154</v>
      </c>
      <c r="AU128" s="157" t="s">
        <v>85</v>
      </c>
      <c r="AV128" s="14" t="s">
        <v>85</v>
      </c>
      <c r="AW128" s="14" t="s">
        <v>37</v>
      </c>
      <c r="AX128" s="14" t="s">
        <v>75</v>
      </c>
      <c r="AY128" s="157" t="s">
        <v>144</v>
      </c>
    </row>
    <row r="129" spans="2:51" s="15" customFormat="1" ht="12">
      <c r="B129" s="166"/>
      <c r="D129" s="150" t="s">
        <v>154</v>
      </c>
      <c r="E129" s="167" t="s">
        <v>3</v>
      </c>
      <c r="F129" s="168" t="s">
        <v>161</v>
      </c>
      <c r="H129" s="169">
        <f>H125+H126+H128</f>
        <v>55.04279999999999</v>
      </c>
      <c r="L129" s="166"/>
      <c r="M129" s="170"/>
      <c r="N129" s="171"/>
      <c r="O129" s="171"/>
      <c r="P129" s="171"/>
      <c r="Q129" s="171"/>
      <c r="R129" s="171"/>
      <c r="S129" s="171"/>
      <c r="T129" s="172"/>
      <c r="AT129" s="167" t="s">
        <v>154</v>
      </c>
      <c r="AU129" s="167" t="s">
        <v>85</v>
      </c>
      <c r="AV129" s="15" t="s">
        <v>152</v>
      </c>
      <c r="AW129" s="15" t="s">
        <v>37</v>
      </c>
      <c r="AX129" s="15" t="s">
        <v>83</v>
      </c>
      <c r="AY129" s="167" t="s">
        <v>144</v>
      </c>
    </row>
    <row r="130" spans="1:65" s="2" customFormat="1" ht="37.9" customHeight="1">
      <c r="A130" s="31"/>
      <c r="B130" s="136"/>
      <c r="C130" s="137" t="s">
        <v>193</v>
      </c>
      <c r="D130" s="137" t="s">
        <v>147</v>
      </c>
      <c r="E130" s="138" t="s">
        <v>194</v>
      </c>
      <c r="F130" s="139" t="s">
        <v>195</v>
      </c>
      <c r="G130" s="140" t="s">
        <v>183</v>
      </c>
      <c r="H130" s="141">
        <v>31.346</v>
      </c>
      <c r="I130" s="142"/>
      <c r="J130" s="142">
        <f>ROUND(I130*H130,2)</f>
        <v>0</v>
      </c>
      <c r="K130" s="139" t="s">
        <v>157</v>
      </c>
      <c r="L130" s="32"/>
      <c r="M130" s="143" t="s">
        <v>3</v>
      </c>
      <c r="N130" s="144" t="s">
        <v>46</v>
      </c>
      <c r="O130" s="145">
        <v>0.556</v>
      </c>
      <c r="P130" s="145">
        <f>O130*H130</f>
        <v>17.428376</v>
      </c>
      <c r="Q130" s="145">
        <v>0.07571</v>
      </c>
      <c r="R130" s="145">
        <f>Q130*H130</f>
        <v>2.37320566</v>
      </c>
      <c r="S130" s="145">
        <v>0</v>
      </c>
      <c r="T130" s="146">
        <f>S130*H130</f>
        <v>0</v>
      </c>
      <c r="U130" s="31"/>
      <c r="V130" s="31"/>
      <c r="W130" s="31"/>
      <c r="X130" s="31"/>
      <c r="Y130" s="31"/>
      <c r="Z130" s="31"/>
      <c r="AA130" s="31"/>
      <c r="AB130" s="31"/>
      <c r="AC130" s="31"/>
      <c r="AD130" s="31"/>
      <c r="AE130" s="31"/>
      <c r="AR130" s="147" t="s">
        <v>152</v>
      </c>
      <c r="AT130" s="147" t="s">
        <v>147</v>
      </c>
      <c r="AU130" s="147" t="s">
        <v>85</v>
      </c>
      <c r="AY130" s="19" t="s">
        <v>144</v>
      </c>
      <c r="BE130" s="148">
        <f>IF(N130="základní",J130,0)</f>
        <v>0</v>
      </c>
      <c r="BF130" s="148">
        <f>IF(N130="snížená",J130,0)</f>
        <v>0</v>
      </c>
      <c r="BG130" s="148">
        <f>IF(N130="zákl. přenesená",J130,0)</f>
        <v>0</v>
      </c>
      <c r="BH130" s="148">
        <f>IF(N130="sníž. přenesená",J130,0)</f>
        <v>0</v>
      </c>
      <c r="BI130" s="148">
        <f>IF(N130="nulová",J130,0)</f>
        <v>0</v>
      </c>
      <c r="BJ130" s="19" t="s">
        <v>83</v>
      </c>
      <c r="BK130" s="148">
        <f>ROUND(I130*H130,2)</f>
        <v>0</v>
      </c>
      <c r="BL130" s="19" t="s">
        <v>152</v>
      </c>
      <c r="BM130" s="147" t="s">
        <v>196</v>
      </c>
    </row>
    <row r="131" spans="2:51" s="13" customFormat="1" ht="12">
      <c r="B131" s="149"/>
      <c r="D131" s="150" t="s">
        <v>154</v>
      </c>
      <c r="E131" s="151" t="s">
        <v>3</v>
      </c>
      <c r="F131" s="152" t="s">
        <v>155</v>
      </c>
      <c r="H131" s="151" t="s">
        <v>3</v>
      </c>
      <c r="L131" s="149"/>
      <c r="M131" s="153"/>
      <c r="N131" s="154"/>
      <c r="O131" s="154"/>
      <c r="P131" s="154"/>
      <c r="Q131" s="154"/>
      <c r="R131" s="154"/>
      <c r="S131" s="154"/>
      <c r="T131" s="155"/>
      <c r="AT131" s="151" t="s">
        <v>154</v>
      </c>
      <c r="AU131" s="151" t="s">
        <v>85</v>
      </c>
      <c r="AV131" s="13" t="s">
        <v>83</v>
      </c>
      <c r="AW131" s="13" t="s">
        <v>37</v>
      </c>
      <c r="AX131" s="13" t="s">
        <v>75</v>
      </c>
      <c r="AY131" s="151" t="s">
        <v>144</v>
      </c>
    </row>
    <row r="132" spans="2:51" s="13" customFormat="1" ht="12">
      <c r="B132" s="149"/>
      <c r="D132" s="150" t="s">
        <v>154</v>
      </c>
      <c r="E132" s="151" t="s">
        <v>3</v>
      </c>
      <c r="F132" s="152" t="s">
        <v>167</v>
      </c>
      <c r="H132" s="151" t="s">
        <v>3</v>
      </c>
      <c r="L132" s="149"/>
      <c r="M132" s="153"/>
      <c r="N132" s="154"/>
      <c r="O132" s="154"/>
      <c r="P132" s="154"/>
      <c r="Q132" s="154"/>
      <c r="R132" s="154"/>
      <c r="S132" s="154"/>
      <c r="T132" s="155"/>
      <c r="AT132" s="151" t="s">
        <v>154</v>
      </c>
      <c r="AU132" s="151" t="s">
        <v>85</v>
      </c>
      <c r="AV132" s="13" t="s">
        <v>83</v>
      </c>
      <c r="AW132" s="13" t="s">
        <v>37</v>
      </c>
      <c r="AX132" s="13" t="s">
        <v>75</v>
      </c>
      <c r="AY132" s="151" t="s">
        <v>144</v>
      </c>
    </row>
    <row r="133" spans="2:51" s="14" customFormat="1" ht="12">
      <c r="B133" s="156"/>
      <c r="D133" s="150" t="s">
        <v>154</v>
      </c>
      <c r="E133" s="157" t="s">
        <v>3</v>
      </c>
      <c r="F133" s="158" t="s">
        <v>197</v>
      </c>
      <c r="H133" s="159">
        <v>31.346</v>
      </c>
      <c r="L133" s="156"/>
      <c r="M133" s="160"/>
      <c r="N133" s="161"/>
      <c r="O133" s="161"/>
      <c r="P133" s="161"/>
      <c r="Q133" s="161"/>
      <c r="R133" s="161"/>
      <c r="S133" s="161"/>
      <c r="T133" s="162"/>
      <c r="AT133" s="157" t="s">
        <v>154</v>
      </c>
      <c r="AU133" s="157" t="s">
        <v>85</v>
      </c>
      <c r="AV133" s="14" t="s">
        <v>85</v>
      </c>
      <c r="AW133" s="14" t="s">
        <v>37</v>
      </c>
      <c r="AX133" s="14" t="s">
        <v>83</v>
      </c>
      <c r="AY133" s="157" t="s">
        <v>144</v>
      </c>
    </row>
    <row r="134" spans="1:65" s="2" customFormat="1" ht="24.2" customHeight="1">
      <c r="A134" s="31"/>
      <c r="B134" s="136"/>
      <c r="C134" s="137" t="s">
        <v>198</v>
      </c>
      <c r="D134" s="137" t="s">
        <v>147</v>
      </c>
      <c r="E134" s="138" t="s">
        <v>199</v>
      </c>
      <c r="F134" s="139" t="s">
        <v>200</v>
      </c>
      <c r="G134" s="140" t="s">
        <v>201</v>
      </c>
      <c r="H134" s="141">
        <f>H141</f>
        <v>24.490000000000002</v>
      </c>
      <c r="I134" s="142"/>
      <c r="J134" s="142">
        <f>ROUND(I134*H134,2)</f>
        <v>0</v>
      </c>
      <c r="K134" s="139" t="s">
        <v>157</v>
      </c>
      <c r="L134" s="32"/>
      <c r="M134" s="143" t="s">
        <v>3</v>
      </c>
      <c r="N134" s="144" t="s">
        <v>46</v>
      </c>
      <c r="O134" s="145">
        <v>0.12</v>
      </c>
      <c r="P134" s="145">
        <f>O134*H134</f>
        <v>2.9388</v>
      </c>
      <c r="Q134" s="145">
        <v>8E-05</v>
      </c>
      <c r="R134" s="145">
        <f>Q134*H134</f>
        <v>0.0019592000000000004</v>
      </c>
      <c r="S134" s="145">
        <v>0</v>
      </c>
      <c r="T134" s="146">
        <f>S134*H134</f>
        <v>0</v>
      </c>
      <c r="U134" s="31"/>
      <c r="V134" s="31"/>
      <c r="W134" s="31"/>
      <c r="X134" s="31"/>
      <c r="Y134" s="31"/>
      <c r="Z134" s="31"/>
      <c r="AA134" s="31"/>
      <c r="AB134" s="31"/>
      <c r="AC134" s="31"/>
      <c r="AD134" s="31"/>
      <c r="AE134" s="31"/>
      <c r="AR134" s="147" t="s">
        <v>152</v>
      </c>
      <c r="AT134" s="147" t="s">
        <v>147</v>
      </c>
      <c r="AU134" s="147" t="s">
        <v>85</v>
      </c>
      <c r="AY134" s="19" t="s">
        <v>144</v>
      </c>
      <c r="BE134" s="148">
        <f>IF(N134="základní",J134,0)</f>
        <v>0</v>
      </c>
      <c r="BF134" s="148">
        <f>IF(N134="snížená",J134,0)</f>
        <v>0</v>
      </c>
      <c r="BG134" s="148">
        <f>IF(N134="zákl. přenesená",J134,0)</f>
        <v>0</v>
      </c>
      <c r="BH134" s="148">
        <f>IF(N134="sníž. přenesená",J134,0)</f>
        <v>0</v>
      </c>
      <c r="BI134" s="148">
        <f>IF(N134="nulová",J134,0)</f>
        <v>0</v>
      </c>
      <c r="BJ134" s="19" t="s">
        <v>83</v>
      </c>
      <c r="BK134" s="148">
        <f>ROUND(I134*H134,2)</f>
        <v>0</v>
      </c>
      <c r="BL134" s="19" t="s">
        <v>152</v>
      </c>
      <c r="BM134" s="147" t="s">
        <v>202</v>
      </c>
    </row>
    <row r="135" spans="1:47" s="2" customFormat="1" ht="78">
      <c r="A135" s="31"/>
      <c r="B135" s="32"/>
      <c r="C135" s="31"/>
      <c r="D135" s="150" t="s">
        <v>158</v>
      </c>
      <c r="E135" s="31"/>
      <c r="F135" s="163" t="s">
        <v>203</v>
      </c>
      <c r="G135" s="31"/>
      <c r="H135" s="31"/>
      <c r="I135" s="31"/>
      <c r="J135" s="31"/>
      <c r="K135" s="31"/>
      <c r="L135" s="32"/>
      <c r="M135" s="164"/>
      <c r="N135" s="165"/>
      <c r="O135" s="52"/>
      <c r="P135" s="52"/>
      <c r="Q135" s="52"/>
      <c r="R135" s="52"/>
      <c r="S135" s="52"/>
      <c r="T135" s="53"/>
      <c r="U135" s="31"/>
      <c r="V135" s="31"/>
      <c r="W135" s="31"/>
      <c r="X135" s="31"/>
      <c r="Y135" s="31"/>
      <c r="Z135" s="31"/>
      <c r="AA135" s="31"/>
      <c r="AB135" s="31"/>
      <c r="AC135" s="31"/>
      <c r="AD135" s="31"/>
      <c r="AE135" s="31"/>
      <c r="AT135" s="19" t="s">
        <v>158</v>
      </c>
      <c r="AU135" s="19" t="s">
        <v>85</v>
      </c>
    </row>
    <row r="136" spans="2:51" s="13" customFormat="1" ht="12">
      <c r="B136" s="149"/>
      <c r="D136" s="150" t="s">
        <v>154</v>
      </c>
      <c r="E136" s="151" t="s">
        <v>3</v>
      </c>
      <c r="F136" s="152" t="s">
        <v>155</v>
      </c>
      <c r="H136" s="151" t="s">
        <v>3</v>
      </c>
      <c r="L136" s="149"/>
      <c r="M136" s="153"/>
      <c r="N136" s="154"/>
      <c r="O136" s="154"/>
      <c r="P136" s="154"/>
      <c r="Q136" s="154"/>
      <c r="R136" s="154"/>
      <c r="S136" s="154"/>
      <c r="T136" s="155"/>
      <c r="AT136" s="151" t="s">
        <v>154</v>
      </c>
      <c r="AU136" s="151" t="s">
        <v>85</v>
      </c>
      <c r="AV136" s="13" t="s">
        <v>83</v>
      </c>
      <c r="AW136" s="13" t="s">
        <v>37</v>
      </c>
      <c r="AX136" s="13" t="s">
        <v>75</v>
      </c>
      <c r="AY136" s="151" t="s">
        <v>144</v>
      </c>
    </row>
    <row r="137" spans="2:51" s="13" customFormat="1" ht="12">
      <c r="B137" s="149"/>
      <c r="D137" s="150" t="s">
        <v>154</v>
      </c>
      <c r="E137" s="151" t="s">
        <v>3</v>
      </c>
      <c r="F137" s="152" t="s">
        <v>166</v>
      </c>
      <c r="H137" s="151" t="s">
        <v>3</v>
      </c>
      <c r="L137" s="149"/>
      <c r="M137" s="153"/>
      <c r="N137" s="154"/>
      <c r="O137" s="154"/>
      <c r="P137" s="154"/>
      <c r="Q137" s="154"/>
      <c r="R137" s="154"/>
      <c r="S137" s="154"/>
      <c r="T137" s="155"/>
      <c r="AT137" s="151" t="s">
        <v>154</v>
      </c>
      <c r="AU137" s="151" t="s">
        <v>85</v>
      </c>
      <c r="AV137" s="13" t="s">
        <v>83</v>
      </c>
      <c r="AW137" s="13" t="s">
        <v>37</v>
      </c>
      <c r="AX137" s="13" t="s">
        <v>75</v>
      </c>
      <c r="AY137" s="151" t="s">
        <v>144</v>
      </c>
    </row>
    <row r="138" spans="2:51" s="14" customFormat="1" ht="12">
      <c r="B138" s="156"/>
      <c r="D138" s="150" t="s">
        <v>154</v>
      </c>
      <c r="E138" s="157" t="s">
        <v>3</v>
      </c>
      <c r="F138" s="158" t="s">
        <v>1868</v>
      </c>
      <c r="H138" s="159">
        <f>3.9+2.4+3.05+0.9+0.9</f>
        <v>11.15</v>
      </c>
      <c r="L138" s="156"/>
      <c r="M138" s="160"/>
      <c r="N138" s="161"/>
      <c r="O138" s="161"/>
      <c r="P138" s="161"/>
      <c r="Q138" s="161"/>
      <c r="R138" s="161"/>
      <c r="S138" s="161"/>
      <c r="T138" s="162"/>
      <c r="AT138" s="157" t="s">
        <v>154</v>
      </c>
      <c r="AU138" s="157" t="s">
        <v>85</v>
      </c>
      <c r="AV138" s="14" t="s">
        <v>85</v>
      </c>
      <c r="AW138" s="14" t="s">
        <v>37</v>
      </c>
      <c r="AX138" s="14" t="s">
        <v>75</v>
      </c>
      <c r="AY138" s="157" t="s">
        <v>144</v>
      </c>
    </row>
    <row r="139" spans="2:51" s="13" customFormat="1" ht="12">
      <c r="B139" s="149"/>
      <c r="D139" s="150" t="s">
        <v>154</v>
      </c>
      <c r="E139" s="151" t="s">
        <v>3</v>
      </c>
      <c r="F139" s="152" t="s">
        <v>167</v>
      </c>
      <c r="H139" s="151" t="s">
        <v>3</v>
      </c>
      <c r="L139" s="149"/>
      <c r="M139" s="153"/>
      <c r="N139" s="154"/>
      <c r="O139" s="154"/>
      <c r="P139" s="154"/>
      <c r="Q139" s="154"/>
      <c r="R139" s="154"/>
      <c r="S139" s="154"/>
      <c r="T139" s="155"/>
      <c r="AT139" s="151" t="s">
        <v>154</v>
      </c>
      <c r="AU139" s="151" t="s">
        <v>85</v>
      </c>
      <c r="AV139" s="13" t="s">
        <v>83</v>
      </c>
      <c r="AW139" s="13" t="s">
        <v>37</v>
      </c>
      <c r="AX139" s="13" t="s">
        <v>75</v>
      </c>
      <c r="AY139" s="151" t="s">
        <v>144</v>
      </c>
    </row>
    <row r="140" spans="2:51" s="14" customFormat="1" ht="12">
      <c r="B140" s="156"/>
      <c r="D140" s="150" t="s">
        <v>154</v>
      </c>
      <c r="E140" s="157" t="s">
        <v>3</v>
      </c>
      <c r="F140" s="158" t="s">
        <v>1867</v>
      </c>
      <c r="H140" s="159">
        <f>3.9+2*3.92+1.6</f>
        <v>13.34</v>
      </c>
      <c r="L140" s="156"/>
      <c r="M140" s="160"/>
      <c r="N140" s="161"/>
      <c r="O140" s="161"/>
      <c r="P140" s="161"/>
      <c r="Q140" s="161"/>
      <c r="R140" s="161"/>
      <c r="S140" s="161"/>
      <c r="T140" s="162"/>
      <c r="AT140" s="157" t="s">
        <v>154</v>
      </c>
      <c r="AU140" s="157" t="s">
        <v>85</v>
      </c>
      <c r="AV140" s="14" t="s">
        <v>85</v>
      </c>
      <c r="AW140" s="14" t="s">
        <v>37</v>
      </c>
      <c r="AX140" s="14" t="s">
        <v>75</v>
      </c>
      <c r="AY140" s="157" t="s">
        <v>144</v>
      </c>
    </row>
    <row r="141" spans="2:51" s="15" customFormat="1" ht="12">
      <c r="B141" s="166"/>
      <c r="D141" s="150" t="s">
        <v>154</v>
      </c>
      <c r="E141" s="167" t="s">
        <v>3</v>
      </c>
      <c r="F141" s="168" t="s">
        <v>161</v>
      </c>
      <c r="H141" s="169">
        <f>H138+H140</f>
        <v>24.490000000000002</v>
      </c>
      <c r="L141" s="166"/>
      <c r="M141" s="170"/>
      <c r="N141" s="171"/>
      <c r="O141" s="171"/>
      <c r="P141" s="171"/>
      <c r="Q141" s="171"/>
      <c r="R141" s="171"/>
      <c r="S141" s="171"/>
      <c r="T141" s="172"/>
      <c r="AT141" s="167" t="s">
        <v>154</v>
      </c>
      <c r="AU141" s="167" t="s">
        <v>85</v>
      </c>
      <c r="AV141" s="15" t="s">
        <v>152</v>
      </c>
      <c r="AW141" s="15" t="s">
        <v>37</v>
      </c>
      <c r="AX141" s="15" t="s">
        <v>83</v>
      </c>
      <c r="AY141" s="167" t="s">
        <v>144</v>
      </c>
    </row>
    <row r="142" spans="1:65" s="2" customFormat="1" ht="24.2" customHeight="1">
      <c r="A142" s="31"/>
      <c r="B142" s="136"/>
      <c r="C142" s="137" t="s">
        <v>204</v>
      </c>
      <c r="D142" s="137" t="s">
        <v>147</v>
      </c>
      <c r="E142" s="138" t="s">
        <v>205</v>
      </c>
      <c r="F142" s="139" t="s">
        <v>206</v>
      </c>
      <c r="G142" s="140" t="s">
        <v>201</v>
      </c>
      <c r="H142" s="141">
        <v>11.74</v>
      </c>
      <c r="I142" s="142"/>
      <c r="J142" s="142">
        <f>ROUND(I142*H142,2)</f>
        <v>0</v>
      </c>
      <c r="K142" s="139" t="s">
        <v>157</v>
      </c>
      <c r="L142" s="32"/>
      <c r="M142" s="143" t="s">
        <v>3</v>
      </c>
      <c r="N142" s="144" t="s">
        <v>46</v>
      </c>
      <c r="O142" s="145">
        <v>0.18</v>
      </c>
      <c r="P142" s="145">
        <f>O142*H142</f>
        <v>2.1132</v>
      </c>
      <c r="Q142" s="145">
        <v>0.00012</v>
      </c>
      <c r="R142" s="145">
        <f>Q142*H142</f>
        <v>0.0014088</v>
      </c>
      <c r="S142" s="145">
        <v>0</v>
      </c>
      <c r="T142" s="146">
        <f>S142*H142</f>
        <v>0</v>
      </c>
      <c r="U142" s="31"/>
      <c r="V142" s="31"/>
      <c r="W142" s="31"/>
      <c r="X142" s="31"/>
      <c r="Y142" s="31"/>
      <c r="Z142" s="31"/>
      <c r="AA142" s="31"/>
      <c r="AB142" s="31"/>
      <c r="AC142" s="31"/>
      <c r="AD142" s="31"/>
      <c r="AE142" s="31"/>
      <c r="AR142" s="147" t="s">
        <v>152</v>
      </c>
      <c r="AT142" s="147" t="s">
        <v>147</v>
      </c>
      <c r="AU142" s="147" t="s">
        <v>85</v>
      </c>
      <c r="AY142" s="19" t="s">
        <v>144</v>
      </c>
      <c r="BE142" s="148">
        <f>IF(N142="základní",J142,0)</f>
        <v>0</v>
      </c>
      <c r="BF142" s="148">
        <f>IF(N142="snížená",J142,0)</f>
        <v>0</v>
      </c>
      <c r="BG142" s="148">
        <f>IF(N142="zákl. přenesená",J142,0)</f>
        <v>0</v>
      </c>
      <c r="BH142" s="148">
        <f>IF(N142="sníž. přenesená",J142,0)</f>
        <v>0</v>
      </c>
      <c r="BI142" s="148">
        <f>IF(N142="nulová",J142,0)</f>
        <v>0</v>
      </c>
      <c r="BJ142" s="19" t="s">
        <v>83</v>
      </c>
      <c r="BK142" s="148">
        <f>ROUND(I142*H142,2)</f>
        <v>0</v>
      </c>
      <c r="BL142" s="19" t="s">
        <v>152</v>
      </c>
      <c r="BM142" s="147" t="s">
        <v>207</v>
      </c>
    </row>
    <row r="143" spans="1:47" s="2" customFormat="1" ht="78">
      <c r="A143" s="31"/>
      <c r="B143" s="32"/>
      <c r="C143" s="31"/>
      <c r="D143" s="150" t="s">
        <v>158</v>
      </c>
      <c r="E143" s="31"/>
      <c r="F143" s="163" t="s">
        <v>203</v>
      </c>
      <c r="G143" s="31"/>
      <c r="H143" s="31"/>
      <c r="I143" s="31"/>
      <c r="J143" s="31"/>
      <c r="K143" s="31"/>
      <c r="L143" s="32"/>
      <c r="M143" s="164"/>
      <c r="N143" s="165"/>
      <c r="O143" s="52"/>
      <c r="P143" s="52"/>
      <c r="Q143" s="52"/>
      <c r="R143" s="52"/>
      <c r="S143" s="52"/>
      <c r="T143" s="53"/>
      <c r="U143" s="31"/>
      <c r="V143" s="31"/>
      <c r="W143" s="31"/>
      <c r="X143" s="31"/>
      <c r="Y143" s="31"/>
      <c r="Z143" s="31"/>
      <c r="AA143" s="31"/>
      <c r="AB143" s="31"/>
      <c r="AC143" s="31"/>
      <c r="AD143" s="31"/>
      <c r="AE143" s="31"/>
      <c r="AT143" s="19" t="s">
        <v>158</v>
      </c>
      <c r="AU143" s="19" t="s">
        <v>85</v>
      </c>
    </row>
    <row r="144" spans="2:51" s="13" customFormat="1" ht="12">
      <c r="B144" s="149"/>
      <c r="D144" s="150" t="s">
        <v>154</v>
      </c>
      <c r="E144" s="151" t="s">
        <v>3</v>
      </c>
      <c r="F144" s="152" t="s">
        <v>155</v>
      </c>
      <c r="H144" s="151" t="s">
        <v>3</v>
      </c>
      <c r="L144" s="149"/>
      <c r="M144" s="153"/>
      <c r="N144" s="154"/>
      <c r="O144" s="154"/>
      <c r="P144" s="154"/>
      <c r="Q144" s="154"/>
      <c r="R144" s="154"/>
      <c r="S144" s="154"/>
      <c r="T144" s="155"/>
      <c r="AT144" s="151" t="s">
        <v>154</v>
      </c>
      <c r="AU144" s="151" t="s">
        <v>85</v>
      </c>
      <c r="AV144" s="13" t="s">
        <v>83</v>
      </c>
      <c r="AW144" s="13" t="s">
        <v>37</v>
      </c>
      <c r="AX144" s="13" t="s">
        <v>75</v>
      </c>
      <c r="AY144" s="151" t="s">
        <v>144</v>
      </c>
    </row>
    <row r="145" spans="2:51" s="13" customFormat="1" ht="12">
      <c r="B145" s="149"/>
      <c r="D145" s="150" t="s">
        <v>154</v>
      </c>
      <c r="E145" s="151" t="s">
        <v>3</v>
      </c>
      <c r="F145" s="152" t="s">
        <v>167</v>
      </c>
      <c r="H145" s="151" t="s">
        <v>3</v>
      </c>
      <c r="L145" s="149"/>
      <c r="M145" s="153"/>
      <c r="N145" s="154"/>
      <c r="O145" s="154"/>
      <c r="P145" s="154"/>
      <c r="Q145" s="154"/>
      <c r="R145" s="154"/>
      <c r="S145" s="154"/>
      <c r="T145" s="155"/>
      <c r="AT145" s="151" t="s">
        <v>154</v>
      </c>
      <c r="AU145" s="151" t="s">
        <v>85</v>
      </c>
      <c r="AV145" s="13" t="s">
        <v>83</v>
      </c>
      <c r="AW145" s="13" t="s">
        <v>37</v>
      </c>
      <c r="AX145" s="13" t="s">
        <v>75</v>
      </c>
      <c r="AY145" s="151" t="s">
        <v>144</v>
      </c>
    </row>
    <row r="146" spans="2:51" s="14" customFormat="1" ht="12">
      <c r="B146" s="156"/>
      <c r="D146" s="150" t="s">
        <v>154</v>
      </c>
      <c r="E146" s="157" t="s">
        <v>3</v>
      </c>
      <c r="F146" s="158" t="s">
        <v>208</v>
      </c>
      <c r="H146" s="159">
        <f>3.9+2*3.92</f>
        <v>11.74</v>
      </c>
      <c r="L146" s="156"/>
      <c r="M146" s="160"/>
      <c r="N146" s="161"/>
      <c r="O146" s="161"/>
      <c r="P146" s="161"/>
      <c r="Q146" s="161"/>
      <c r="R146" s="161"/>
      <c r="S146" s="161"/>
      <c r="T146" s="162"/>
      <c r="AT146" s="157" t="s">
        <v>154</v>
      </c>
      <c r="AU146" s="157" t="s">
        <v>85</v>
      </c>
      <c r="AV146" s="14" t="s">
        <v>85</v>
      </c>
      <c r="AW146" s="14" t="s">
        <v>37</v>
      </c>
      <c r="AX146" s="14" t="s">
        <v>83</v>
      </c>
      <c r="AY146" s="157" t="s">
        <v>144</v>
      </c>
    </row>
    <row r="147" spans="1:65" s="2" customFormat="1" ht="24.2" customHeight="1">
      <c r="A147" s="31"/>
      <c r="B147" s="136"/>
      <c r="C147" s="137" t="s">
        <v>209</v>
      </c>
      <c r="D147" s="137" t="s">
        <v>147</v>
      </c>
      <c r="E147" s="138" t="s">
        <v>210</v>
      </c>
      <c r="F147" s="139" t="s">
        <v>211</v>
      </c>
      <c r="G147" s="140" t="s">
        <v>201</v>
      </c>
      <c r="H147" s="141">
        <f>H152</f>
        <v>30.189999999999998</v>
      </c>
      <c r="I147" s="142"/>
      <c r="J147" s="142">
        <f>ROUND(I147*H147,2)</f>
        <v>0</v>
      </c>
      <c r="K147" s="139" t="s">
        <v>157</v>
      </c>
      <c r="L147" s="32"/>
      <c r="M147" s="143" t="s">
        <v>3</v>
      </c>
      <c r="N147" s="144" t="s">
        <v>46</v>
      </c>
      <c r="O147" s="145">
        <v>0.2</v>
      </c>
      <c r="P147" s="145">
        <f>O147*H147</f>
        <v>6.038</v>
      </c>
      <c r="Q147" s="145">
        <v>0.00013</v>
      </c>
      <c r="R147" s="145">
        <f>Q147*H147</f>
        <v>0.0039247</v>
      </c>
      <c r="S147" s="145">
        <v>0</v>
      </c>
      <c r="T147" s="146">
        <f>S147*H147</f>
        <v>0</v>
      </c>
      <c r="U147" s="31"/>
      <c r="V147" s="31"/>
      <c r="W147" s="31"/>
      <c r="X147" s="31"/>
      <c r="Y147" s="31"/>
      <c r="Z147" s="31"/>
      <c r="AA147" s="31"/>
      <c r="AB147" s="31"/>
      <c r="AC147" s="31"/>
      <c r="AD147" s="31"/>
      <c r="AE147" s="31"/>
      <c r="AR147" s="147" t="s">
        <v>152</v>
      </c>
      <c r="AT147" s="147" t="s">
        <v>147</v>
      </c>
      <c r="AU147" s="147" t="s">
        <v>85</v>
      </c>
      <c r="AY147" s="19" t="s">
        <v>144</v>
      </c>
      <c r="BE147" s="148">
        <f>IF(N147="základní",J147,0)</f>
        <v>0</v>
      </c>
      <c r="BF147" s="148">
        <f>IF(N147="snížená",J147,0)</f>
        <v>0</v>
      </c>
      <c r="BG147" s="148">
        <f>IF(N147="zákl. přenesená",J147,0)</f>
        <v>0</v>
      </c>
      <c r="BH147" s="148">
        <f>IF(N147="sníž. přenesená",J147,0)</f>
        <v>0</v>
      </c>
      <c r="BI147" s="148">
        <f>IF(N147="nulová",J147,0)</f>
        <v>0</v>
      </c>
      <c r="BJ147" s="19" t="s">
        <v>83</v>
      </c>
      <c r="BK147" s="148">
        <f>ROUND(I147*H147,2)</f>
        <v>0</v>
      </c>
      <c r="BL147" s="19" t="s">
        <v>152</v>
      </c>
      <c r="BM147" s="147" t="s">
        <v>212</v>
      </c>
    </row>
    <row r="148" spans="1:47" s="2" customFormat="1" ht="78">
      <c r="A148" s="31"/>
      <c r="B148" s="32"/>
      <c r="C148" s="31"/>
      <c r="D148" s="150" t="s">
        <v>158</v>
      </c>
      <c r="E148" s="31"/>
      <c r="F148" s="163" t="s">
        <v>203</v>
      </c>
      <c r="G148" s="31"/>
      <c r="H148" s="31"/>
      <c r="I148" s="31"/>
      <c r="J148" s="31"/>
      <c r="K148" s="31"/>
      <c r="L148" s="32"/>
      <c r="M148" s="164"/>
      <c r="N148" s="165"/>
      <c r="O148" s="52"/>
      <c r="P148" s="52"/>
      <c r="Q148" s="52"/>
      <c r="R148" s="52"/>
      <c r="S148" s="52"/>
      <c r="T148" s="53"/>
      <c r="U148" s="31"/>
      <c r="V148" s="31"/>
      <c r="W148" s="31"/>
      <c r="X148" s="31"/>
      <c r="Y148" s="31"/>
      <c r="Z148" s="31"/>
      <c r="AA148" s="31"/>
      <c r="AB148" s="31"/>
      <c r="AC148" s="31"/>
      <c r="AD148" s="31"/>
      <c r="AE148" s="31"/>
      <c r="AT148" s="19" t="s">
        <v>158</v>
      </c>
      <c r="AU148" s="19" t="s">
        <v>85</v>
      </c>
    </row>
    <row r="149" spans="2:51" s="13" customFormat="1" ht="12">
      <c r="B149" s="149"/>
      <c r="D149" s="150" t="s">
        <v>154</v>
      </c>
      <c r="E149" s="151" t="s">
        <v>3</v>
      </c>
      <c r="F149" s="152" t="s">
        <v>155</v>
      </c>
      <c r="H149" s="151" t="s">
        <v>3</v>
      </c>
      <c r="L149" s="149"/>
      <c r="M149" s="153"/>
      <c r="N149" s="154"/>
      <c r="O149" s="154"/>
      <c r="P149" s="154"/>
      <c r="Q149" s="154"/>
      <c r="R149" s="154"/>
      <c r="S149" s="154"/>
      <c r="T149" s="155"/>
      <c r="AT149" s="151" t="s">
        <v>154</v>
      </c>
      <c r="AU149" s="151" t="s">
        <v>85</v>
      </c>
      <c r="AV149" s="13" t="s">
        <v>83</v>
      </c>
      <c r="AW149" s="13" t="s">
        <v>37</v>
      </c>
      <c r="AX149" s="13" t="s">
        <v>75</v>
      </c>
      <c r="AY149" s="151" t="s">
        <v>144</v>
      </c>
    </row>
    <row r="150" spans="2:51" s="14" customFormat="1" ht="12">
      <c r="B150" s="156"/>
      <c r="D150" s="150" t="s">
        <v>154</v>
      </c>
      <c r="E150" s="157" t="s">
        <v>3</v>
      </c>
      <c r="F150" s="158" t="s">
        <v>1870</v>
      </c>
      <c r="H150" s="159">
        <f>2*3+2*1.4+3*0.9</f>
        <v>11.5</v>
      </c>
      <c r="L150" s="156"/>
      <c r="M150" s="160"/>
      <c r="N150" s="161"/>
      <c r="O150" s="161"/>
      <c r="P150" s="161"/>
      <c r="Q150" s="161"/>
      <c r="R150" s="161"/>
      <c r="S150" s="161"/>
      <c r="T150" s="162"/>
      <c r="AT150" s="157" t="s">
        <v>154</v>
      </c>
      <c r="AU150" s="157" t="s">
        <v>85</v>
      </c>
      <c r="AV150" s="14" t="s">
        <v>85</v>
      </c>
      <c r="AW150" s="14" t="s">
        <v>37</v>
      </c>
      <c r="AX150" s="14" t="s">
        <v>75</v>
      </c>
      <c r="AY150" s="157" t="s">
        <v>144</v>
      </c>
    </row>
    <row r="151" spans="2:51" s="14" customFormat="1" ht="12">
      <c r="B151" s="156"/>
      <c r="D151" s="150" t="s">
        <v>154</v>
      </c>
      <c r="E151" s="157" t="s">
        <v>3</v>
      </c>
      <c r="F151" s="158" t="s">
        <v>1869</v>
      </c>
      <c r="H151" s="159">
        <f>7*2.67</f>
        <v>18.689999999999998</v>
      </c>
      <c r="L151" s="156"/>
      <c r="M151" s="160"/>
      <c r="N151" s="161"/>
      <c r="O151" s="161"/>
      <c r="P151" s="161"/>
      <c r="Q151" s="161"/>
      <c r="R151" s="161"/>
      <c r="S151" s="161"/>
      <c r="T151" s="162"/>
      <c r="AT151" s="157" t="s">
        <v>154</v>
      </c>
      <c r="AU151" s="157" t="s">
        <v>85</v>
      </c>
      <c r="AV151" s="14" t="s">
        <v>85</v>
      </c>
      <c r="AW151" s="14" t="s">
        <v>37</v>
      </c>
      <c r="AX151" s="14" t="s">
        <v>75</v>
      </c>
      <c r="AY151" s="157" t="s">
        <v>144</v>
      </c>
    </row>
    <row r="152" spans="2:51" s="15" customFormat="1" ht="12">
      <c r="B152" s="166"/>
      <c r="D152" s="150" t="s">
        <v>154</v>
      </c>
      <c r="E152" s="167" t="s">
        <v>3</v>
      </c>
      <c r="F152" s="168" t="s">
        <v>161</v>
      </c>
      <c r="H152" s="169">
        <f>H150+H151</f>
        <v>30.189999999999998</v>
      </c>
      <c r="L152" s="166"/>
      <c r="M152" s="170"/>
      <c r="N152" s="171"/>
      <c r="O152" s="171"/>
      <c r="P152" s="171"/>
      <c r="Q152" s="171"/>
      <c r="R152" s="171"/>
      <c r="S152" s="171"/>
      <c r="T152" s="172"/>
      <c r="AT152" s="167" t="s">
        <v>154</v>
      </c>
      <c r="AU152" s="167" t="s">
        <v>85</v>
      </c>
      <c r="AV152" s="15" t="s">
        <v>152</v>
      </c>
      <c r="AW152" s="15" t="s">
        <v>37</v>
      </c>
      <c r="AX152" s="15" t="s">
        <v>83</v>
      </c>
      <c r="AY152" s="167" t="s">
        <v>144</v>
      </c>
    </row>
    <row r="153" spans="1:65" s="2" customFormat="1" ht="37.9" customHeight="1">
      <c r="A153" s="31"/>
      <c r="B153" s="136"/>
      <c r="C153" s="137" t="s">
        <v>9</v>
      </c>
      <c r="D153" s="137" t="s">
        <v>147</v>
      </c>
      <c r="E153" s="138" t="s">
        <v>213</v>
      </c>
      <c r="F153" s="139" t="s">
        <v>214</v>
      </c>
      <c r="G153" s="140" t="s">
        <v>183</v>
      </c>
      <c r="H153" s="141">
        <f>H155</f>
        <v>5.640000000000001</v>
      </c>
      <c r="I153" s="142"/>
      <c r="J153" s="142">
        <f>ROUND(I153*H153,2)</f>
        <v>0</v>
      </c>
      <c r="K153" s="139" t="s">
        <v>157</v>
      </c>
      <c r="L153" s="32"/>
      <c r="M153" s="143" t="s">
        <v>3</v>
      </c>
      <c r="N153" s="144" t="s">
        <v>46</v>
      </c>
      <c r="O153" s="145">
        <v>1.21</v>
      </c>
      <c r="P153" s="145">
        <f>O153*H153</f>
        <v>6.824400000000001</v>
      </c>
      <c r="Q153" s="145">
        <v>0.17818</v>
      </c>
      <c r="R153" s="145">
        <f>Q153*H153</f>
        <v>1.0049352</v>
      </c>
      <c r="S153" s="145">
        <v>0</v>
      </c>
      <c r="T153" s="146">
        <f>S153*H153</f>
        <v>0</v>
      </c>
      <c r="U153" s="31"/>
      <c r="V153" s="31"/>
      <c r="W153" s="31"/>
      <c r="X153" s="31"/>
      <c r="Y153" s="31"/>
      <c r="Z153" s="31"/>
      <c r="AA153" s="31"/>
      <c r="AB153" s="31"/>
      <c r="AC153" s="31"/>
      <c r="AD153" s="31"/>
      <c r="AE153" s="31"/>
      <c r="AR153" s="147" t="s">
        <v>152</v>
      </c>
      <c r="AT153" s="147" t="s">
        <v>147</v>
      </c>
      <c r="AU153" s="147" t="s">
        <v>85</v>
      </c>
      <c r="AY153" s="19" t="s">
        <v>144</v>
      </c>
      <c r="BE153" s="148">
        <f>IF(N153="základní",J153,0)</f>
        <v>0</v>
      </c>
      <c r="BF153" s="148">
        <f>IF(N153="snížená",J153,0)</f>
        <v>0</v>
      </c>
      <c r="BG153" s="148">
        <f>IF(N153="zákl. přenesená",J153,0)</f>
        <v>0</v>
      </c>
      <c r="BH153" s="148">
        <f>IF(N153="sníž. přenesená",J153,0)</f>
        <v>0</v>
      </c>
      <c r="BI153" s="148">
        <f>IF(N153="nulová",J153,0)</f>
        <v>0</v>
      </c>
      <c r="BJ153" s="19" t="s">
        <v>83</v>
      </c>
      <c r="BK153" s="148">
        <f>ROUND(I153*H153,2)</f>
        <v>0</v>
      </c>
      <c r="BL153" s="19" t="s">
        <v>152</v>
      </c>
      <c r="BM153" s="147" t="s">
        <v>215</v>
      </c>
    </row>
    <row r="154" spans="2:51" s="13" customFormat="1" ht="12">
      <c r="B154" s="149"/>
      <c r="D154" s="150" t="s">
        <v>154</v>
      </c>
      <c r="E154" s="151" t="s">
        <v>3</v>
      </c>
      <c r="F154" s="152" t="s">
        <v>216</v>
      </c>
      <c r="H154" s="151" t="s">
        <v>3</v>
      </c>
      <c r="L154" s="149"/>
      <c r="M154" s="153"/>
      <c r="N154" s="154"/>
      <c r="O154" s="154"/>
      <c r="P154" s="154"/>
      <c r="Q154" s="154"/>
      <c r="R154" s="154"/>
      <c r="S154" s="154"/>
      <c r="T154" s="155"/>
      <c r="AT154" s="151" t="s">
        <v>154</v>
      </c>
      <c r="AU154" s="151" t="s">
        <v>85</v>
      </c>
      <c r="AV154" s="13" t="s">
        <v>83</v>
      </c>
      <c r="AW154" s="13" t="s">
        <v>37</v>
      </c>
      <c r="AX154" s="13" t="s">
        <v>75</v>
      </c>
      <c r="AY154" s="151" t="s">
        <v>144</v>
      </c>
    </row>
    <row r="155" spans="2:51" s="14" customFormat="1" ht="12">
      <c r="B155" s="156"/>
      <c r="D155" s="150" t="s">
        <v>154</v>
      </c>
      <c r="E155" s="157" t="s">
        <v>3</v>
      </c>
      <c r="F155" s="158" t="s">
        <v>1871</v>
      </c>
      <c r="H155" s="159">
        <f>2*(9*1.2+3*1.1)*0.2</f>
        <v>5.640000000000001</v>
      </c>
      <c r="L155" s="156"/>
      <c r="M155" s="160"/>
      <c r="N155" s="161"/>
      <c r="O155" s="161"/>
      <c r="P155" s="161"/>
      <c r="Q155" s="161"/>
      <c r="R155" s="161"/>
      <c r="S155" s="161"/>
      <c r="T155" s="162"/>
      <c r="AT155" s="157" t="s">
        <v>154</v>
      </c>
      <c r="AU155" s="157" t="s">
        <v>85</v>
      </c>
      <c r="AV155" s="14" t="s">
        <v>85</v>
      </c>
      <c r="AW155" s="14" t="s">
        <v>37</v>
      </c>
      <c r="AX155" s="14" t="s">
        <v>83</v>
      </c>
      <c r="AY155" s="157" t="s">
        <v>144</v>
      </c>
    </row>
    <row r="156" spans="2:63" s="12" customFormat="1" ht="22.9" customHeight="1">
      <c r="B156" s="124"/>
      <c r="D156" s="125" t="s">
        <v>74</v>
      </c>
      <c r="E156" s="134" t="s">
        <v>179</v>
      </c>
      <c r="F156" s="134" t="s">
        <v>217</v>
      </c>
      <c r="J156" s="135">
        <f>BK156</f>
        <v>0</v>
      </c>
      <c r="L156" s="124"/>
      <c r="M156" s="128"/>
      <c r="N156" s="129"/>
      <c r="O156" s="129"/>
      <c r="P156" s="130">
        <f>SUM(P157:P190)</f>
        <v>186.09325</v>
      </c>
      <c r="Q156" s="129"/>
      <c r="R156" s="130">
        <f>SUM(R157:R190)</f>
        <v>4.483320000000001</v>
      </c>
      <c r="S156" s="129"/>
      <c r="T156" s="131">
        <f>SUM(T157:T190)</f>
        <v>0</v>
      </c>
      <c r="AR156" s="125" t="s">
        <v>83</v>
      </c>
      <c r="AT156" s="132" t="s">
        <v>74</v>
      </c>
      <c r="AU156" s="132" t="s">
        <v>83</v>
      </c>
      <c r="AY156" s="125" t="s">
        <v>144</v>
      </c>
      <c r="BK156" s="133">
        <f>SUM(BK157:BK190)</f>
        <v>0</v>
      </c>
    </row>
    <row r="157" spans="1:65" s="2" customFormat="1" ht="24.2" customHeight="1">
      <c r="A157" s="31"/>
      <c r="B157" s="136"/>
      <c r="C157" s="137" t="s">
        <v>235</v>
      </c>
      <c r="D157" s="137" t="s">
        <v>147</v>
      </c>
      <c r="E157" s="138" t="s">
        <v>236</v>
      </c>
      <c r="F157" s="139" t="s">
        <v>237</v>
      </c>
      <c r="G157" s="140" t="s">
        <v>183</v>
      </c>
      <c r="H157" s="141">
        <f>H163</f>
        <v>282.70000000000005</v>
      </c>
      <c r="I157" s="142"/>
      <c r="J157" s="142">
        <f>ROUND(I157*H157,2)</f>
        <v>0</v>
      </c>
      <c r="K157" s="139" t="s">
        <v>157</v>
      </c>
      <c r="L157" s="32"/>
      <c r="M157" s="143" t="s">
        <v>3</v>
      </c>
      <c r="N157" s="144" t="s">
        <v>46</v>
      </c>
      <c r="O157" s="145">
        <v>0.25</v>
      </c>
      <c r="P157" s="145">
        <f>O157*H157</f>
        <v>70.67500000000001</v>
      </c>
      <c r="Q157" s="145">
        <v>0.0102</v>
      </c>
      <c r="R157" s="145">
        <f>Q157*H157</f>
        <v>2.883540000000001</v>
      </c>
      <c r="S157" s="145">
        <v>0</v>
      </c>
      <c r="T157" s="146">
        <f>S157*H157</f>
        <v>0</v>
      </c>
      <c r="U157" s="31"/>
      <c r="V157" s="31"/>
      <c r="W157" s="31"/>
      <c r="X157" s="31"/>
      <c r="Y157" s="31"/>
      <c r="Z157" s="31"/>
      <c r="AA157" s="31"/>
      <c r="AB157" s="31"/>
      <c r="AC157" s="31"/>
      <c r="AD157" s="31"/>
      <c r="AE157" s="31"/>
      <c r="AR157" s="147" t="s">
        <v>152</v>
      </c>
      <c r="AT157" s="147" t="s">
        <v>147</v>
      </c>
      <c r="AU157" s="147" t="s">
        <v>85</v>
      </c>
      <c r="AY157" s="19" t="s">
        <v>144</v>
      </c>
      <c r="BE157" s="148">
        <f>IF(N157="základní",J157,0)</f>
        <v>0</v>
      </c>
      <c r="BF157" s="148">
        <f>IF(N157="snížená",J157,0)</f>
        <v>0</v>
      </c>
      <c r="BG157" s="148">
        <f>IF(N157="zákl. přenesená",J157,0)</f>
        <v>0</v>
      </c>
      <c r="BH157" s="148">
        <f>IF(N157="sníž. přenesená",J157,0)</f>
        <v>0</v>
      </c>
      <c r="BI157" s="148">
        <f>IF(N157="nulová",J157,0)</f>
        <v>0</v>
      </c>
      <c r="BJ157" s="19" t="s">
        <v>83</v>
      </c>
      <c r="BK157" s="148">
        <f>ROUND(I157*H157,2)</f>
        <v>0</v>
      </c>
      <c r="BL157" s="19" t="s">
        <v>152</v>
      </c>
      <c r="BM157" s="147" t="s">
        <v>238</v>
      </c>
    </row>
    <row r="158" spans="2:51" s="13" customFormat="1" ht="12">
      <c r="B158" s="149"/>
      <c r="D158" s="150" t="s">
        <v>154</v>
      </c>
      <c r="E158" s="151" t="s">
        <v>3</v>
      </c>
      <c r="F158" s="152" t="s">
        <v>239</v>
      </c>
      <c r="H158" s="151" t="s">
        <v>3</v>
      </c>
      <c r="L158" s="149"/>
      <c r="M158" s="153"/>
      <c r="N158" s="154"/>
      <c r="O158" s="154"/>
      <c r="P158" s="154"/>
      <c r="Q158" s="154"/>
      <c r="R158" s="154"/>
      <c r="S158" s="154"/>
      <c r="T158" s="155"/>
      <c r="AT158" s="151" t="s">
        <v>154</v>
      </c>
      <c r="AU158" s="151" t="s">
        <v>85</v>
      </c>
      <c r="AV158" s="13" t="s">
        <v>83</v>
      </c>
      <c r="AW158" s="13" t="s">
        <v>37</v>
      </c>
      <c r="AX158" s="13" t="s">
        <v>75</v>
      </c>
      <c r="AY158" s="151" t="s">
        <v>144</v>
      </c>
    </row>
    <row r="159" spans="2:51" s="13" customFormat="1" ht="12">
      <c r="B159" s="149"/>
      <c r="D159" s="150" t="s">
        <v>154</v>
      </c>
      <c r="E159" s="151" t="s">
        <v>3</v>
      </c>
      <c r="F159" s="152" t="s">
        <v>166</v>
      </c>
      <c r="H159" s="151" t="s">
        <v>3</v>
      </c>
      <c r="L159" s="149"/>
      <c r="M159" s="153"/>
      <c r="N159" s="154"/>
      <c r="O159" s="154"/>
      <c r="P159" s="154"/>
      <c r="Q159" s="154"/>
      <c r="R159" s="154"/>
      <c r="S159" s="154"/>
      <c r="T159" s="155"/>
      <c r="AT159" s="151" t="s">
        <v>154</v>
      </c>
      <c r="AU159" s="151" t="s">
        <v>85</v>
      </c>
      <c r="AV159" s="13" t="s">
        <v>83</v>
      </c>
      <c r="AW159" s="13" t="s">
        <v>37</v>
      </c>
      <c r="AX159" s="13" t="s">
        <v>75</v>
      </c>
      <c r="AY159" s="151" t="s">
        <v>144</v>
      </c>
    </row>
    <row r="160" spans="2:51" s="14" customFormat="1" ht="12">
      <c r="B160" s="156"/>
      <c r="D160" s="150" t="s">
        <v>154</v>
      </c>
      <c r="E160" s="157" t="s">
        <v>3</v>
      </c>
      <c r="F160" s="158" t="s">
        <v>1872</v>
      </c>
      <c r="H160" s="159">
        <f>2.55+20.75+6.59+3.18+15.99+15.46+21.38+10.91+10.29</f>
        <v>107.1</v>
      </c>
      <c r="L160" s="156"/>
      <c r="M160" s="160"/>
      <c r="N160" s="161"/>
      <c r="O160" s="161"/>
      <c r="P160" s="161"/>
      <c r="Q160" s="161"/>
      <c r="R160" s="161"/>
      <c r="S160" s="161"/>
      <c r="T160" s="162"/>
      <c r="AT160" s="157" t="s">
        <v>154</v>
      </c>
      <c r="AU160" s="157" t="s">
        <v>85</v>
      </c>
      <c r="AV160" s="14" t="s">
        <v>85</v>
      </c>
      <c r="AW160" s="14" t="s">
        <v>37</v>
      </c>
      <c r="AX160" s="14" t="s">
        <v>75</v>
      </c>
      <c r="AY160" s="157" t="s">
        <v>144</v>
      </c>
    </row>
    <row r="161" spans="2:51" s="13" customFormat="1" ht="12">
      <c r="B161" s="149"/>
      <c r="D161" s="150" t="s">
        <v>154</v>
      </c>
      <c r="E161" s="151" t="s">
        <v>3</v>
      </c>
      <c r="F161" s="152" t="s">
        <v>167</v>
      </c>
      <c r="H161" s="151" t="s">
        <v>3</v>
      </c>
      <c r="L161" s="149"/>
      <c r="M161" s="153"/>
      <c r="N161" s="154"/>
      <c r="O161" s="154"/>
      <c r="P161" s="154"/>
      <c r="Q161" s="154"/>
      <c r="R161" s="154"/>
      <c r="S161" s="154"/>
      <c r="T161" s="155"/>
      <c r="AT161" s="151" t="s">
        <v>154</v>
      </c>
      <c r="AU161" s="151" t="s">
        <v>85</v>
      </c>
      <c r="AV161" s="13" t="s">
        <v>83</v>
      </c>
      <c r="AW161" s="13" t="s">
        <v>37</v>
      </c>
      <c r="AX161" s="13" t="s">
        <v>75</v>
      </c>
      <c r="AY161" s="151" t="s">
        <v>144</v>
      </c>
    </row>
    <row r="162" spans="2:51" s="14" customFormat="1" ht="22.5">
      <c r="B162" s="156"/>
      <c r="D162" s="150" t="s">
        <v>154</v>
      </c>
      <c r="E162" s="157" t="s">
        <v>3</v>
      </c>
      <c r="F162" s="158" t="s">
        <v>1873</v>
      </c>
      <c r="H162" s="159">
        <f>9.36+30.05+11.31+7.06+7.06+8.39+8.56+8.56+8.39+13.14+9.09+8.54+12.9+16.53+16.66</f>
        <v>175.60000000000002</v>
      </c>
      <c r="L162" s="156"/>
      <c r="M162" s="160"/>
      <c r="N162" s="161"/>
      <c r="O162" s="161"/>
      <c r="P162" s="161"/>
      <c r="Q162" s="161"/>
      <c r="R162" s="161"/>
      <c r="S162" s="161"/>
      <c r="T162" s="162"/>
      <c r="AT162" s="157" t="s">
        <v>154</v>
      </c>
      <c r="AU162" s="157" t="s">
        <v>85</v>
      </c>
      <c r="AV162" s="14" t="s">
        <v>85</v>
      </c>
      <c r="AW162" s="14" t="s">
        <v>37</v>
      </c>
      <c r="AX162" s="14" t="s">
        <v>75</v>
      </c>
      <c r="AY162" s="157" t="s">
        <v>144</v>
      </c>
    </row>
    <row r="163" spans="2:51" s="15" customFormat="1" ht="12">
      <c r="B163" s="166"/>
      <c r="D163" s="150" t="s">
        <v>154</v>
      </c>
      <c r="E163" s="167" t="s">
        <v>3</v>
      </c>
      <c r="F163" s="168" t="s">
        <v>161</v>
      </c>
      <c r="H163" s="169">
        <f>H160+H162</f>
        <v>282.70000000000005</v>
      </c>
      <c r="L163" s="166"/>
      <c r="M163" s="170"/>
      <c r="N163" s="171"/>
      <c r="O163" s="171"/>
      <c r="P163" s="171"/>
      <c r="Q163" s="171"/>
      <c r="R163" s="171"/>
      <c r="S163" s="171"/>
      <c r="T163" s="172"/>
      <c r="AT163" s="167" t="s">
        <v>154</v>
      </c>
      <c r="AU163" s="167" t="s">
        <v>85</v>
      </c>
      <c r="AV163" s="15" t="s">
        <v>152</v>
      </c>
      <c r="AW163" s="15" t="s">
        <v>37</v>
      </c>
      <c r="AX163" s="15" t="s">
        <v>83</v>
      </c>
      <c r="AY163" s="167" t="s">
        <v>144</v>
      </c>
    </row>
    <row r="164" spans="1:65" s="2" customFormat="1" ht="24.2" customHeight="1">
      <c r="A164" s="31"/>
      <c r="B164" s="136"/>
      <c r="C164" s="137" t="s">
        <v>241</v>
      </c>
      <c r="D164" s="137" t="s">
        <v>147</v>
      </c>
      <c r="E164" s="138" t="s">
        <v>242</v>
      </c>
      <c r="F164" s="139" t="s">
        <v>243</v>
      </c>
      <c r="G164" s="140" t="s">
        <v>183</v>
      </c>
      <c r="H164" s="141">
        <v>320.13</v>
      </c>
      <c r="I164" s="142"/>
      <c r="J164" s="142">
        <f>ROUND(I164*H164,2)</f>
        <v>0</v>
      </c>
      <c r="K164" s="139" t="s">
        <v>157</v>
      </c>
      <c r="L164" s="32"/>
      <c r="M164" s="143" t="s">
        <v>3</v>
      </c>
      <c r="N164" s="144" t="s">
        <v>46</v>
      </c>
      <c r="O164" s="145">
        <v>0.127</v>
      </c>
      <c r="P164" s="145">
        <f>O164*H164</f>
        <v>40.65651</v>
      </c>
      <c r="Q164" s="145">
        <v>0</v>
      </c>
      <c r="R164" s="145">
        <f>Q164*H164</f>
        <v>0</v>
      </c>
      <c r="S164" s="145">
        <v>0</v>
      </c>
      <c r="T164" s="146">
        <f>S164*H164</f>
        <v>0</v>
      </c>
      <c r="U164" s="31"/>
      <c r="V164" s="31"/>
      <c r="W164" s="31"/>
      <c r="X164" s="31"/>
      <c r="Y164" s="31"/>
      <c r="Z164" s="31"/>
      <c r="AA164" s="31"/>
      <c r="AB164" s="31"/>
      <c r="AC164" s="31"/>
      <c r="AD164" s="31"/>
      <c r="AE164" s="31"/>
      <c r="AR164" s="147" t="s">
        <v>152</v>
      </c>
      <c r="AT164" s="147" t="s">
        <v>147</v>
      </c>
      <c r="AU164" s="147" t="s">
        <v>85</v>
      </c>
      <c r="AY164" s="19" t="s">
        <v>144</v>
      </c>
      <c r="BE164" s="148">
        <f>IF(N164="základní",J164,0)</f>
        <v>0</v>
      </c>
      <c r="BF164" s="148">
        <f>IF(N164="snížená",J164,0)</f>
        <v>0</v>
      </c>
      <c r="BG164" s="148">
        <f>IF(N164="zákl. přenesená",J164,0)</f>
        <v>0</v>
      </c>
      <c r="BH164" s="148">
        <f>IF(N164="sníž. přenesená",J164,0)</f>
        <v>0</v>
      </c>
      <c r="BI164" s="148">
        <f>IF(N164="nulová",J164,0)</f>
        <v>0</v>
      </c>
      <c r="BJ164" s="19" t="s">
        <v>83</v>
      </c>
      <c r="BK164" s="148">
        <f>ROUND(I164*H164,2)</f>
        <v>0</v>
      </c>
      <c r="BL164" s="19" t="s">
        <v>152</v>
      </c>
      <c r="BM164" s="147" t="s">
        <v>244</v>
      </c>
    </row>
    <row r="165" spans="2:51" s="13" customFormat="1" ht="12">
      <c r="B165" s="149"/>
      <c r="D165" s="150" t="s">
        <v>154</v>
      </c>
      <c r="E165" s="151" t="s">
        <v>3</v>
      </c>
      <c r="F165" s="152" t="s">
        <v>245</v>
      </c>
      <c r="H165" s="151" t="s">
        <v>3</v>
      </c>
      <c r="L165" s="149"/>
      <c r="M165" s="153"/>
      <c r="N165" s="154"/>
      <c r="O165" s="154"/>
      <c r="P165" s="154"/>
      <c r="Q165" s="154"/>
      <c r="R165" s="154"/>
      <c r="S165" s="154"/>
      <c r="T165" s="155"/>
      <c r="AT165" s="151" t="s">
        <v>154</v>
      </c>
      <c r="AU165" s="151" t="s">
        <v>85</v>
      </c>
      <c r="AV165" s="13" t="s">
        <v>83</v>
      </c>
      <c r="AW165" s="13" t="s">
        <v>37</v>
      </c>
      <c r="AX165" s="13" t="s">
        <v>75</v>
      </c>
      <c r="AY165" s="151" t="s">
        <v>144</v>
      </c>
    </row>
    <row r="166" spans="2:51" s="14" customFormat="1" ht="12">
      <c r="B166" s="156"/>
      <c r="D166" s="150" t="s">
        <v>154</v>
      </c>
      <c r="E166" s="157" t="s">
        <v>3</v>
      </c>
      <c r="F166" s="158" t="s">
        <v>246</v>
      </c>
      <c r="H166" s="159">
        <v>279.73</v>
      </c>
      <c r="L166" s="156"/>
      <c r="M166" s="160"/>
      <c r="N166" s="161"/>
      <c r="O166" s="161"/>
      <c r="P166" s="161"/>
      <c r="Q166" s="161"/>
      <c r="R166" s="161"/>
      <c r="S166" s="161"/>
      <c r="T166" s="162"/>
      <c r="AT166" s="157" t="s">
        <v>154</v>
      </c>
      <c r="AU166" s="157" t="s">
        <v>85</v>
      </c>
      <c r="AV166" s="14" t="s">
        <v>85</v>
      </c>
      <c r="AW166" s="14" t="s">
        <v>37</v>
      </c>
      <c r="AX166" s="14" t="s">
        <v>75</v>
      </c>
      <c r="AY166" s="157" t="s">
        <v>144</v>
      </c>
    </row>
    <row r="167" spans="2:51" s="14" customFormat="1" ht="12">
      <c r="B167" s="156"/>
      <c r="D167" s="150" t="s">
        <v>154</v>
      </c>
      <c r="E167" s="157" t="s">
        <v>3</v>
      </c>
      <c r="F167" s="158" t="s">
        <v>247</v>
      </c>
      <c r="H167" s="159">
        <v>40.4</v>
      </c>
      <c r="L167" s="156"/>
      <c r="M167" s="160"/>
      <c r="N167" s="161"/>
      <c r="O167" s="161"/>
      <c r="P167" s="161"/>
      <c r="Q167" s="161"/>
      <c r="R167" s="161"/>
      <c r="S167" s="161"/>
      <c r="T167" s="162"/>
      <c r="AT167" s="157" t="s">
        <v>154</v>
      </c>
      <c r="AU167" s="157" t="s">
        <v>85</v>
      </c>
      <c r="AV167" s="14" t="s">
        <v>85</v>
      </c>
      <c r="AW167" s="14" t="s">
        <v>37</v>
      </c>
      <c r="AX167" s="14" t="s">
        <v>75</v>
      </c>
      <c r="AY167" s="157" t="s">
        <v>144</v>
      </c>
    </row>
    <row r="168" spans="2:51" s="15" customFormat="1" ht="12">
      <c r="B168" s="166"/>
      <c r="D168" s="150" t="s">
        <v>154</v>
      </c>
      <c r="E168" s="167" t="s">
        <v>3</v>
      </c>
      <c r="F168" s="168" t="s">
        <v>161</v>
      </c>
      <c r="H168" s="169">
        <v>320.13</v>
      </c>
      <c r="L168" s="166"/>
      <c r="M168" s="170"/>
      <c r="N168" s="171"/>
      <c r="O168" s="171"/>
      <c r="P168" s="171"/>
      <c r="Q168" s="171"/>
      <c r="R168" s="171"/>
      <c r="S168" s="171"/>
      <c r="T168" s="172"/>
      <c r="AT168" s="167" t="s">
        <v>154</v>
      </c>
      <c r="AU168" s="167" t="s">
        <v>85</v>
      </c>
      <c r="AV168" s="15" t="s">
        <v>152</v>
      </c>
      <c r="AW168" s="15" t="s">
        <v>37</v>
      </c>
      <c r="AX168" s="15" t="s">
        <v>83</v>
      </c>
      <c r="AY168" s="167" t="s">
        <v>144</v>
      </c>
    </row>
    <row r="169" spans="1:65" s="2" customFormat="1" ht="24.2" customHeight="1">
      <c r="A169" s="31"/>
      <c r="B169" s="136"/>
      <c r="C169" s="137" t="s">
        <v>248</v>
      </c>
      <c r="D169" s="137" t="s">
        <v>147</v>
      </c>
      <c r="E169" s="138" t="s">
        <v>249</v>
      </c>
      <c r="F169" s="139" t="s">
        <v>250</v>
      </c>
      <c r="G169" s="140" t="s">
        <v>183</v>
      </c>
      <c r="H169" s="141">
        <v>320.13</v>
      </c>
      <c r="I169" s="142"/>
      <c r="J169" s="142">
        <f>ROUND(I169*H169,2)</f>
        <v>0</v>
      </c>
      <c r="K169" s="139" t="s">
        <v>157</v>
      </c>
      <c r="L169" s="32"/>
      <c r="M169" s="143" t="s">
        <v>3</v>
      </c>
      <c r="N169" s="144" t="s">
        <v>46</v>
      </c>
      <c r="O169" s="145">
        <v>0.098</v>
      </c>
      <c r="P169" s="145">
        <f>O169*H169</f>
        <v>31.37274</v>
      </c>
      <c r="Q169" s="145">
        <v>0</v>
      </c>
      <c r="R169" s="145">
        <f>Q169*H169</f>
        <v>0</v>
      </c>
      <c r="S169" s="145">
        <v>0</v>
      </c>
      <c r="T169" s="146">
        <f>S169*H169</f>
        <v>0</v>
      </c>
      <c r="U169" s="31"/>
      <c r="V169" s="31"/>
      <c r="W169" s="31"/>
      <c r="X169" s="31"/>
      <c r="Y169" s="31"/>
      <c r="Z169" s="31"/>
      <c r="AA169" s="31"/>
      <c r="AB169" s="31"/>
      <c r="AC169" s="31"/>
      <c r="AD169" s="31"/>
      <c r="AE169" s="31"/>
      <c r="AR169" s="147" t="s">
        <v>152</v>
      </c>
      <c r="AT169" s="147" t="s">
        <v>147</v>
      </c>
      <c r="AU169" s="147" t="s">
        <v>85</v>
      </c>
      <c r="AY169" s="19" t="s">
        <v>144</v>
      </c>
      <c r="BE169" s="148">
        <f>IF(N169="základní",J169,0)</f>
        <v>0</v>
      </c>
      <c r="BF169" s="148">
        <f>IF(N169="snížená",J169,0)</f>
        <v>0</v>
      </c>
      <c r="BG169" s="148">
        <f>IF(N169="zákl. přenesená",J169,0)</f>
        <v>0</v>
      </c>
      <c r="BH169" s="148">
        <f>IF(N169="sníž. přenesená",J169,0)</f>
        <v>0</v>
      </c>
      <c r="BI169" s="148">
        <f>IF(N169="nulová",J169,0)</f>
        <v>0</v>
      </c>
      <c r="BJ169" s="19" t="s">
        <v>83</v>
      </c>
      <c r="BK169" s="148">
        <f>ROUND(I169*H169,2)</f>
        <v>0</v>
      </c>
      <c r="BL169" s="19" t="s">
        <v>152</v>
      </c>
      <c r="BM169" s="147" t="s">
        <v>251</v>
      </c>
    </row>
    <row r="170" spans="1:65" s="2" customFormat="1" ht="37.9" customHeight="1">
      <c r="A170" s="31"/>
      <c r="B170" s="136"/>
      <c r="C170" s="137" t="s">
        <v>252</v>
      </c>
      <c r="D170" s="137" t="s">
        <v>147</v>
      </c>
      <c r="E170" s="138" t="s">
        <v>253</v>
      </c>
      <c r="F170" s="139" t="s">
        <v>254</v>
      </c>
      <c r="G170" s="140" t="s">
        <v>156</v>
      </c>
      <c r="H170" s="141">
        <f>H172+H175+H178+H184+H188</f>
        <v>27</v>
      </c>
      <c r="I170" s="142"/>
      <c r="J170" s="142">
        <f>ROUND(I170*H170,2)</f>
        <v>0</v>
      </c>
      <c r="K170" s="139" t="s">
        <v>157</v>
      </c>
      <c r="L170" s="32"/>
      <c r="M170" s="143" t="s">
        <v>3</v>
      </c>
      <c r="N170" s="144" t="s">
        <v>46</v>
      </c>
      <c r="O170" s="145">
        <v>1.607</v>
      </c>
      <c r="P170" s="145">
        <f>O170*H170</f>
        <v>43.389</v>
      </c>
      <c r="Q170" s="145">
        <v>0.04684</v>
      </c>
      <c r="R170" s="145">
        <f>Q170*H170</f>
        <v>1.26468</v>
      </c>
      <c r="S170" s="145">
        <v>0</v>
      </c>
      <c r="T170" s="146">
        <f>S170*H170</f>
        <v>0</v>
      </c>
      <c r="U170" s="31"/>
      <c r="V170" s="31"/>
      <c r="W170" s="31"/>
      <c r="X170" s="31"/>
      <c r="Y170" s="31"/>
      <c r="Z170" s="31"/>
      <c r="AA170" s="31"/>
      <c r="AB170" s="31"/>
      <c r="AC170" s="31"/>
      <c r="AD170" s="31"/>
      <c r="AE170" s="31"/>
      <c r="AR170" s="147" t="s">
        <v>152</v>
      </c>
      <c r="AT170" s="147" t="s">
        <v>147</v>
      </c>
      <c r="AU170" s="147" t="s">
        <v>85</v>
      </c>
      <c r="AY170" s="19" t="s">
        <v>144</v>
      </c>
      <c r="BE170" s="148">
        <f>IF(N170="základní",J170,0)</f>
        <v>0</v>
      </c>
      <c r="BF170" s="148">
        <f>IF(N170="snížená",J170,0)</f>
        <v>0</v>
      </c>
      <c r="BG170" s="148">
        <f>IF(N170="zákl. přenesená",J170,0)</f>
        <v>0</v>
      </c>
      <c r="BH170" s="148">
        <f>IF(N170="sníž. přenesená",J170,0)</f>
        <v>0</v>
      </c>
      <c r="BI170" s="148">
        <f>IF(N170="nulová",J170,0)</f>
        <v>0</v>
      </c>
      <c r="BJ170" s="19" t="s">
        <v>83</v>
      </c>
      <c r="BK170" s="148">
        <f>ROUND(I170*H170,2)</f>
        <v>0</v>
      </c>
      <c r="BL170" s="19" t="s">
        <v>152</v>
      </c>
      <c r="BM170" s="147" t="s">
        <v>255</v>
      </c>
    </row>
    <row r="171" spans="1:47" s="2" customFormat="1" ht="39">
      <c r="A171" s="31"/>
      <c r="B171" s="32"/>
      <c r="C171" s="31"/>
      <c r="D171" s="150" t="s">
        <v>158</v>
      </c>
      <c r="E171" s="31"/>
      <c r="F171" s="163" t="s">
        <v>256</v>
      </c>
      <c r="G171" s="31"/>
      <c r="H171" s="31"/>
      <c r="I171" s="31"/>
      <c r="J171" s="31"/>
      <c r="K171" s="31"/>
      <c r="L171" s="32"/>
      <c r="M171" s="164"/>
      <c r="N171" s="165"/>
      <c r="O171" s="52"/>
      <c r="P171" s="52"/>
      <c r="Q171" s="52"/>
      <c r="R171" s="52"/>
      <c r="S171" s="52"/>
      <c r="T171" s="53"/>
      <c r="U171" s="31"/>
      <c r="V171" s="31"/>
      <c r="W171" s="31"/>
      <c r="X171" s="31"/>
      <c r="Y171" s="31"/>
      <c r="Z171" s="31"/>
      <c r="AA171" s="31"/>
      <c r="AB171" s="31"/>
      <c r="AC171" s="31"/>
      <c r="AD171" s="31"/>
      <c r="AE171" s="31"/>
      <c r="AT171" s="19" t="s">
        <v>158</v>
      </c>
      <c r="AU171" s="19" t="s">
        <v>85</v>
      </c>
    </row>
    <row r="172" spans="1:65" s="2" customFormat="1" ht="24.2" customHeight="1">
      <c r="A172" s="31"/>
      <c r="B172" s="136"/>
      <c r="C172" s="173" t="s">
        <v>257</v>
      </c>
      <c r="D172" s="173" t="s">
        <v>174</v>
      </c>
      <c r="E172" s="174" t="s">
        <v>258</v>
      </c>
      <c r="F172" s="175" t="s">
        <v>259</v>
      </c>
      <c r="G172" s="176" t="s">
        <v>156</v>
      </c>
      <c r="H172" s="177">
        <v>5</v>
      </c>
      <c r="I172" s="178"/>
      <c r="J172" s="178">
        <f>ROUND(I172*H172,2)</f>
        <v>0</v>
      </c>
      <c r="K172" s="175" t="s">
        <v>157</v>
      </c>
      <c r="L172" s="179"/>
      <c r="M172" s="180" t="s">
        <v>3</v>
      </c>
      <c r="N172" s="181" t="s">
        <v>46</v>
      </c>
      <c r="O172" s="145">
        <v>0</v>
      </c>
      <c r="P172" s="145">
        <f>O172*H172</f>
        <v>0</v>
      </c>
      <c r="Q172" s="145">
        <v>0.01201</v>
      </c>
      <c r="R172" s="145">
        <f>Q172*H172</f>
        <v>0.06005</v>
      </c>
      <c r="S172" s="145">
        <v>0</v>
      </c>
      <c r="T172" s="146">
        <f>S172*H172</f>
        <v>0</v>
      </c>
      <c r="U172" s="31"/>
      <c r="V172" s="31"/>
      <c r="W172" s="31"/>
      <c r="X172" s="31"/>
      <c r="Y172" s="31"/>
      <c r="Z172" s="31"/>
      <c r="AA172" s="31"/>
      <c r="AB172" s="31"/>
      <c r="AC172" s="31"/>
      <c r="AD172" s="31"/>
      <c r="AE172" s="31"/>
      <c r="AR172" s="147" t="s">
        <v>177</v>
      </c>
      <c r="AT172" s="147" t="s">
        <v>174</v>
      </c>
      <c r="AU172" s="147" t="s">
        <v>85</v>
      </c>
      <c r="AY172" s="19" t="s">
        <v>144</v>
      </c>
      <c r="BE172" s="148">
        <f>IF(N172="základní",J172,0)</f>
        <v>0</v>
      </c>
      <c r="BF172" s="148">
        <f>IF(N172="snížená",J172,0)</f>
        <v>0</v>
      </c>
      <c r="BG172" s="148">
        <f>IF(N172="zákl. přenesená",J172,0)</f>
        <v>0</v>
      </c>
      <c r="BH172" s="148">
        <f>IF(N172="sníž. přenesená",J172,0)</f>
        <v>0</v>
      </c>
      <c r="BI172" s="148">
        <f>IF(N172="nulová",J172,0)</f>
        <v>0</v>
      </c>
      <c r="BJ172" s="19" t="s">
        <v>83</v>
      </c>
      <c r="BK172" s="148">
        <f>ROUND(I172*H172,2)</f>
        <v>0</v>
      </c>
      <c r="BL172" s="19" t="s">
        <v>152</v>
      </c>
      <c r="BM172" s="147" t="s">
        <v>260</v>
      </c>
    </row>
    <row r="173" spans="2:51" s="13" customFormat="1" ht="22.5">
      <c r="B173" s="149"/>
      <c r="D173" s="150" t="s">
        <v>154</v>
      </c>
      <c r="E173" s="151" t="s">
        <v>3</v>
      </c>
      <c r="F173" s="152" t="s">
        <v>261</v>
      </c>
      <c r="H173" s="151" t="s">
        <v>3</v>
      </c>
      <c r="L173" s="149"/>
      <c r="M173" s="153"/>
      <c r="N173" s="154"/>
      <c r="O173" s="154"/>
      <c r="P173" s="154"/>
      <c r="Q173" s="154"/>
      <c r="R173" s="154"/>
      <c r="S173" s="154"/>
      <c r="T173" s="155"/>
      <c r="AT173" s="151" t="s">
        <v>154</v>
      </c>
      <c r="AU173" s="151" t="s">
        <v>85</v>
      </c>
      <c r="AV173" s="13" t="s">
        <v>83</v>
      </c>
      <c r="AW173" s="13" t="s">
        <v>37</v>
      </c>
      <c r="AX173" s="13" t="s">
        <v>75</v>
      </c>
      <c r="AY173" s="151" t="s">
        <v>144</v>
      </c>
    </row>
    <row r="174" spans="2:51" s="14" customFormat="1" ht="12">
      <c r="B174" s="156"/>
      <c r="D174" s="150" t="s">
        <v>154</v>
      </c>
      <c r="E174" s="157" t="s">
        <v>3</v>
      </c>
      <c r="F174" s="158" t="s">
        <v>1874</v>
      </c>
      <c r="H174" s="159">
        <v>5</v>
      </c>
      <c r="L174" s="156"/>
      <c r="M174" s="160"/>
      <c r="N174" s="161"/>
      <c r="O174" s="161"/>
      <c r="P174" s="161"/>
      <c r="Q174" s="161"/>
      <c r="R174" s="161"/>
      <c r="S174" s="161"/>
      <c r="T174" s="162"/>
      <c r="AT174" s="157" t="s">
        <v>154</v>
      </c>
      <c r="AU174" s="157" t="s">
        <v>85</v>
      </c>
      <c r="AV174" s="14" t="s">
        <v>85</v>
      </c>
      <c r="AW174" s="14" t="s">
        <v>37</v>
      </c>
      <c r="AX174" s="14" t="s">
        <v>83</v>
      </c>
      <c r="AY174" s="157" t="s">
        <v>144</v>
      </c>
    </row>
    <row r="175" spans="1:65" s="2" customFormat="1" ht="24.2" customHeight="1">
      <c r="A175" s="31"/>
      <c r="B175" s="136"/>
      <c r="C175" s="173" t="s">
        <v>262</v>
      </c>
      <c r="D175" s="173" t="s">
        <v>174</v>
      </c>
      <c r="E175" s="174" t="s">
        <v>263</v>
      </c>
      <c r="F175" s="175" t="s">
        <v>264</v>
      </c>
      <c r="G175" s="176" t="s">
        <v>156</v>
      </c>
      <c r="H175" s="177">
        <v>3</v>
      </c>
      <c r="I175" s="178"/>
      <c r="J175" s="178">
        <f>ROUND(I175*H175,2)</f>
        <v>0</v>
      </c>
      <c r="K175" s="175" t="s">
        <v>157</v>
      </c>
      <c r="L175" s="179"/>
      <c r="M175" s="180" t="s">
        <v>3</v>
      </c>
      <c r="N175" s="181" t="s">
        <v>46</v>
      </c>
      <c r="O175" s="145">
        <v>0</v>
      </c>
      <c r="P175" s="145">
        <f>O175*H175</f>
        <v>0</v>
      </c>
      <c r="Q175" s="145">
        <v>0.01225</v>
      </c>
      <c r="R175" s="145">
        <f>Q175*H175</f>
        <v>0.036750000000000005</v>
      </c>
      <c r="S175" s="145">
        <v>0</v>
      </c>
      <c r="T175" s="146">
        <f>S175*H175</f>
        <v>0</v>
      </c>
      <c r="U175" s="31"/>
      <c r="V175" s="31"/>
      <c r="W175" s="31"/>
      <c r="X175" s="31"/>
      <c r="Y175" s="31"/>
      <c r="Z175" s="31"/>
      <c r="AA175" s="31"/>
      <c r="AB175" s="31"/>
      <c r="AC175" s="31"/>
      <c r="AD175" s="31"/>
      <c r="AE175" s="31"/>
      <c r="AR175" s="147" t="s">
        <v>177</v>
      </c>
      <c r="AT175" s="147" t="s">
        <v>174</v>
      </c>
      <c r="AU175" s="147" t="s">
        <v>85</v>
      </c>
      <c r="AY175" s="19" t="s">
        <v>144</v>
      </c>
      <c r="BE175" s="148">
        <f>IF(N175="základní",J175,0)</f>
        <v>0</v>
      </c>
      <c r="BF175" s="148">
        <f>IF(N175="snížená",J175,0)</f>
        <v>0</v>
      </c>
      <c r="BG175" s="148">
        <f>IF(N175="zákl. přenesená",J175,0)</f>
        <v>0</v>
      </c>
      <c r="BH175" s="148">
        <f>IF(N175="sníž. přenesená",J175,0)</f>
        <v>0</v>
      </c>
      <c r="BI175" s="148">
        <f>IF(N175="nulová",J175,0)</f>
        <v>0</v>
      </c>
      <c r="BJ175" s="19" t="s">
        <v>83</v>
      </c>
      <c r="BK175" s="148">
        <f>ROUND(I175*H175,2)</f>
        <v>0</v>
      </c>
      <c r="BL175" s="19" t="s">
        <v>152</v>
      </c>
      <c r="BM175" s="147" t="s">
        <v>265</v>
      </c>
    </row>
    <row r="176" spans="2:51" s="13" customFormat="1" ht="22.5">
      <c r="B176" s="149"/>
      <c r="D176" s="150" t="s">
        <v>154</v>
      </c>
      <c r="E176" s="151" t="s">
        <v>3</v>
      </c>
      <c r="F176" s="152" t="s">
        <v>261</v>
      </c>
      <c r="H176" s="151" t="s">
        <v>3</v>
      </c>
      <c r="L176" s="149"/>
      <c r="M176" s="153"/>
      <c r="N176" s="154"/>
      <c r="O176" s="154"/>
      <c r="P176" s="154"/>
      <c r="Q176" s="154"/>
      <c r="R176" s="154"/>
      <c r="S176" s="154"/>
      <c r="T176" s="155"/>
      <c r="AT176" s="151" t="s">
        <v>154</v>
      </c>
      <c r="AU176" s="151" t="s">
        <v>85</v>
      </c>
      <c r="AV176" s="13" t="s">
        <v>83</v>
      </c>
      <c r="AW176" s="13" t="s">
        <v>37</v>
      </c>
      <c r="AX176" s="13" t="s">
        <v>75</v>
      </c>
      <c r="AY176" s="151" t="s">
        <v>144</v>
      </c>
    </row>
    <row r="177" spans="2:51" s="14" customFormat="1" ht="12">
      <c r="B177" s="156"/>
      <c r="D177" s="150" t="s">
        <v>154</v>
      </c>
      <c r="E177" s="157" t="s">
        <v>3</v>
      </c>
      <c r="F177" s="158" t="s">
        <v>1875</v>
      </c>
      <c r="H177" s="159">
        <v>3</v>
      </c>
      <c r="L177" s="156"/>
      <c r="M177" s="160"/>
      <c r="N177" s="161"/>
      <c r="O177" s="161"/>
      <c r="P177" s="161"/>
      <c r="Q177" s="161"/>
      <c r="R177" s="161"/>
      <c r="S177" s="161"/>
      <c r="T177" s="162"/>
      <c r="AT177" s="157" t="s">
        <v>154</v>
      </c>
      <c r="AU177" s="157" t="s">
        <v>85</v>
      </c>
      <c r="AV177" s="14" t="s">
        <v>85</v>
      </c>
      <c r="AW177" s="14" t="s">
        <v>37</v>
      </c>
      <c r="AX177" s="14" t="s">
        <v>83</v>
      </c>
      <c r="AY177" s="157" t="s">
        <v>144</v>
      </c>
    </row>
    <row r="178" spans="1:65" s="2" customFormat="1" ht="24.2" customHeight="1">
      <c r="A178" s="31"/>
      <c r="B178" s="136"/>
      <c r="C178" s="173" t="s">
        <v>266</v>
      </c>
      <c r="D178" s="173" t="s">
        <v>174</v>
      </c>
      <c r="E178" s="174" t="s">
        <v>267</v>
      </c>
      <c r="F178" s="175" t="s">
        <v>268</v>
      </c>
      <c r="G178" s="176" t="s">
        <v>156</v>
      </c>
      <c r="H178" s="177">
        <f>H183</f>
        <v>17</v>
      </c>
      <c r="I178" s="178"/>
      <c r="J178" s="178">
        <f>ROUND(I178*H178,2)</f>
        <v>0</v>
      </c>
      <c r="K178" s="175" t="s">
        <v>157</v>
      </c>
      <c r="L178" s="179"/>
      <c r="M178" s="180" t="s">
        <v>3</v>
      </c>
      <c r="N178" s="181" t="s">
        <v>46</v>
      </c>
      <c r="O178" s="145">
        <v>0</v>
      </c>
      <c r="P178" s="145">
        <f>O178*H178</f>
        <v>0</v>
      </c>
      <c r="Q178" s="145">
        <v>0.01249</v>
      </c>
      <c r="R178" s="145">
        <f>Q178*H178</f>
        <v>0.21233</v>
      </c>
      <c r="S178" s="145">
        <v>0</v>
      </c>
      <c r="T178" s="146">
        <f>S178*H178</f>
        <v>0</v>
      </c>
      <c r="U178" s="31"/>
      <c r="V178" s="31"/>
      <c r="W178" s="31"/>
      <c r="X178" s="31"/>
      <c r="Y178" s="31"/>
      <c r="Z178" s="31"/>
      <c r="AA178" s="31"/>
      <c r="AB178" s="31"/>
      <c r="AC178" s="31"/>
      <c r="AD178" s="31"/>
      <c r="AE178" s="31"/>
      <c r="AR178" s="147" t="s">
        <v>177</v>
      </c>
      <c r="AT178" s="147" t="s">
        <v>174</v>
      </c>
      <c r="AU178" s="147" t="s">
        <v>85</v>
      </c>
      <c r="AY178" s="19" t="s">
        <v>144</v>
      </c>
      <c r="BE178" s="148">
        <f>IF(N178="základní",J178,0)</f>
        <v>0</v>
      </c>
      <c r="BF178" s="148">
        <f>IF(N178="snížená",J178,0)</f>
        <v>0</v>
      </c>
      <c r="BG178" s="148">
        <f>IF(N178="zákl. přenesená",J178,0)</f>
        <v>0</v>
      </c>
      <c r="BH178" s="148">
        <f>IF(N178="sníž. přenesená",J178,0)</f>
        <v>0</v>
      </c>
      <c r="BI178" s="148">
        <f>IF(N178="nulová",J178,0)</f>
        <v>0</v>
      </c>
      <c r="BJ178" s="19" t="s">
        <v>83</v>
      </c>
      <c r="BK178" s="148">
        <f>ROUND(I178*H178,2)</f>
        <v>0</v>
      </c>
      <c r="BL178" s="19" t="s">
        <v>152</v>
      </c>
      <c r="BM178" s="147" t="s">
        <v>269</v>
      </c>
    </row>
    <row r="179" spans="1:47" s="2" customFormat="1" ht="19.5">
      <c r="A179" s="31"/>
      <c r="B179" s="32"/>
      <c r="C179" s="31"/>
      <c r="D179" s="150" t="s">
        <v>270</v>
      </c>
      <c r="E179" s="31"/>
      <c r="F179" s="163" t="s">
        <v>271</v>
      </c>
      <c r="G179" s="31"/>
      <c r="H179" s="31"/>
      <c r="I179" s="31"/>
      <c r="J179" s="31"/>
      <c r="K179" s="31"/>
      <c r="L179" s="32"/>
      <c r="M179" s="164"/>
      <c r="N179" s="165"/>
      <c r="O179" s="52"/>
      <c r="P179" s="52"/>
      <c r="Q179" s="52"/>
      <c r="R179" s="52"/>
      <c r="S179" s="52"/>
      <c r="T179" s="53"/>
      <c r="U179" s="31"/>
      <c r="V179" s="31"/>
      <c r="W179" s="31"/>
      <c r="X179" s="31"/>
      <c r="Y179" s="31"/>
      <c r="Z179" s="31"/>
      <c r="AA179" s="31"/>
      <c r="AB179" s="31"/>
      <c r="AC179" s="31"/>
      <c r="AD179" s="31"/>
      <c r="AE179" s="31"/>
      <c r="AT179" s="19" t="s">
        <v>270</v>
      </c>
      <c r="AU179" s="19" t="s">
        <v>85</v>
      </c>
    </row>
    <row r="180" spans="2:51" s="13" customFormat="1" ht="22.5">
      <c r="B180" s="149"/>
      <c r="D180" s="150" t="s">
        <v>154</v>
      </c>
      <c r="E180" s="151" t="s">
        <v>3</v>
      </c>
      <c r="F180" s="152" t="s">
        <v>261</v>
      </c>
      <c r="H180" s="151" t="s">
        <v>3</v>
      </c>
      <c r="L180" s="149"/>
      <c r="M180" s="153"/>
      <c r="N180" s="154"/>
      <c r="O180" s="154"/>
      <c r="P180" s="154"/>
      <c r="Q180" s="154"/>
      <c r="R180" s="154"/>
      <c r="S180" s="154"/>
      <c r="T180" s="155"/>
      <c r="AT180" s="151" t="s">
        <v>154</v>
      </c>
      <c r="AU180" s="151" t="s">
        <v>85</v>
      </c>
      <c r="AV180" s="13" t="s">
        <v>83</v>
      </c>
      <c r="AW180" s="13" t="s">
        <v>37</v>
      </c>
      <c r="AX180" s="13" t="s">
        <v>75</v>
      </c>
      <c r="AY180" s="151" t="s">
        <v>144</v>
      </c>
    </row>
    <row r="181" spans="2:51" s="14" customFormat="1" ht="12">
      <c r="B181" s="156"/>
      <c r="D181" s="150" t="s">
        <v>154</v>
      </c>
      <c r="E181" s="157" t="s">
        <v>3</v>
      </c>
      <c r="F181" s="158" t="s">
        <v>1876</v>
      </c>
      <c r="H181" s="159">
        <v>4</v>
      </c>
      <c r="L181" s="156"/>
      <c r="M181" s="160"/>
      <c r="N181" s="161"/>
      <c r="O181" s="161"/>
      <c r="P181" s="161"/>
      <c r="Q181" s="161"/>
      <c r="R181" s="161"/>
      <c r="S181" s="161"/>
      <c r="T181" s="162"/>
      <c r="AT181" s="157" t="s">
        <v>154</v>
      </c>
      <c r="AU181" s="157" t="s">
        <v>85</v>
      </c>
      <c r="AV181" s="14" t="s">
        <v>85</v>
      </c>
      <c r="AW181" s="14" t="s">
        <v>37</v>
      </c>
      <c r="AX181" s="14" t="s">
        <v>75</v>
      </c>
      <c r="AY181" s="157" t="s">
        <v>144</v>
      </c>
    </row>
    <row r="182" spans="2:51" s="14" customFormat="1" ht="12">
      <c r="B182" s="156"/>
      <c r="D182" s="150" t="s">
        <v>154</v>
      </c>
      <c r="E182" s="157" t="s">
        <v>3</v>
      </c>
      <c r="F182" s="158" t="s">
        <v>1877</v>
      </c>
      <c r="H182" s="159">
        <v>13</v>
      </c>
      <c r="L182" s="156"/>
      <c r="M182" s="160"/>
      <c r="N182" s="161"/>
      <c r="O182" s="161"/>
      <c r="P182" s="161"/>
      <c r="Q182" s="161"/>
      <c r="R182" s="161"/>
      <c r="S182" s="161"/>
      <c r="T182" s="162"/>
      <c r="AT182" s="157" t="s">
        <v>154</v>
      </c>
      <c r="AU182" s="157" t="s">
        <v>85</v>
      </c>
      <c r="AV182" s="14" t="s">
        <v>85</v>
      </c>
      <c r="AW182" s="14" t="s">
        <v>37</v>
      </c>
      <c r="AX182" s="14" t="s">
        <v>75</v>
      </c>
      <c r="AY182" s="157" t="s">
        <v>144</v>
      </c>
    </row>
    <row r="183" spans="2:51" s="15" customFormat="1" ht="12">
      <c r="B183" s="166"/>
      <c r="D183" s="150" t="s">
        <v>154</v>
      </c>
      <c r="E183" s="167" t="s">
        <v>3</v>
      </c>
      <c r="F183" s="168" t="s">
        <v>161</v>
      </c>
      <c r="H183" s="169">
        <v>17</v>
      </c>
      <c r="L183" s="166"/>
      <c r="M183" s="170"/>
      <c r="N183" s="171"/>
      <c r="O183" s="171"/>
      <c r="P183" s="171"/>
      <c r="Q183" s="171"/>
      <c r="R183" s="171"/>
      <c r="S183" s="171"/>
      <c r="T183" s="172"/>
      <c r="AT183" s="167" t="s">
        <v>154</v>
      </c>
      <c r="AU183" s="167" t="s">
        <v>85</v>
      </c>
      <c r="AV183" s="15" t="s">
        <v>152</v>
      </c>
      <c r="AW183" s="15" t="s">
        <v>37</v>
      </c>
      <c r="AX183" s="15" t="s">
        <v>83</v>
      </c>
      <c r="AY183" s="167" t="s">
        <v>144</v>
      </c>
    </row>
    <row r="184" spans="1:65" s="2" customFormat="1" ht="24.2" customHeight="1">
      <c r="A184" s="31"/>
      <c r="B184" s="136"/>
      <c r="C184" s="173" t="s">
        <v>272</v>
      </c>
      <c r="D184" s="173" t="s">
        <v>174</v>
      </c>
      <c r="E184" s="174" t="s">
        <v>273</v>
      </c>
      <c r="F184" s="175" t="s">
        <v>274</v>
      </c>
      <c r="G184" s="176" t="s">
        <v>156</v>
      </c>
      <c r="H184" s="177">
        <v>1</v>
      </c>
      <c r="I184" s="178"/>
      <c r="J184" s="178">
        <f>ROUND(I184*H184,2)</f>
        <v>0</v>
      </c>
      <c r="K184" s="175" t="s">
        <v>157</v>
      </c>
      <c r="L184" s="179"/>
      <c r="M184" s="180" t="s">
        <v>3</v>
      </c>
      <c r="N184" s="181" t="s">
        <v>46</v>
      </c>
      <c r="O184" s="145">
        <v>0</v>
      </c>
      <c r="P184" s="145">
        <f>O184*H184</f>
        <v>0</v>
      </c>
      <c r="Q184" s="145">
        <v>0.01272</v>
      </c>
      <c r="R184" s="145">
        <f>Q184*H184</f>
        <v>0.01272</v>
      </c>
      <c r="S184" s="145">
        <v>0</v>
      </c>
      <c r="T184" s="146">
        <f>S184*H184</f>
        <v>0</v>
      </c>
      <c r="U184" s="31"/>
      <c r="V184" s="31"/>
      <c r="W184" s="31"/>
      <c r="X184" s="31"/>
      <c r="Y184" s="31"/>
      <c r="Z184" s="31"/>
      <c r="AA184" s="31"/>
      <c r="AB184" s="31"/>
      <c r="AC184" s="31"/>
      <c r="AD184" s="31"/>
      <c r="AE184" s="31"/>
      <c r="AR184" s="147" t="s">
        <v>177</v>
      </c>
      <c r="AT184" s="147" t="s">
        <v>174</v>
      </c>
      <c r="AU184" s="147" t="s">
        <v>85</v>
      </c>
      <c r="AY184" s="19" t="s">
        <v>144</v>
      </c>
      <c r="BE184" s="148">
        <f>IF(N184="základní",J184,0)</f>
        <v>0</v>
      </c>
      <c r="BF184" s="148">
        <f>IF(N184="snížená",J184,0)</f>
        <v>0</v>
      </c>
      <c r="BG184" s="148">
        <f>IF(N184="zákl. přenesená",J184,0)</f>
        <v>0</v>
      </c>
      <c r="BH184" s="148">
        <f>IF(N184="sníž. přenesená",J184,0)</f>
        <v>0</v>
      </c>
      <c r="BI184" s="148">
        <f>IF(N184="nulová",J184,0)</f>
        <v>0</v>
      </c>
      <c r="BJ184" s="19" t="s">
        <v>83</v>
      </c>
      <c r="BK184" s="148">
        <f>ROUND(I184*H184,2)</f>
        <v>0</v>
      </c>
      <c r="BL184" s="19" t="s">
        <v>152</v>
      </c>
      <c r="BM184" s="147" t="s">
        <v>275</v>
      </c>
    </row>
    <row r="185" spans="1:47" s="2" customFormat="1" ht="19.5">
      <c r="A185" s="31"/>
      <c r="B185" s="32"/>
      <c r="C185" s="31"/>
      <c r="D185" s="150" t="s">
        <v>270</v>
      </c>
      <c r="E185" s="31"/>
      <c r="F185" s="163" t="s">
        <v>271</v>
      </c>
      <c r="G185" s="31"/>
      <c r="H185" s="31"/>
      <c r="I185" s="31"/>
      <c r="J185" s="31"/>
      <c r="K185" s="31"/>
      <c r="L185" s="32"/>
      <c r="M185" s="164"/>
      <c r="N185" s="165"/>
      <c r="O185" s="52"/>
      <c r="P185" s="52"/>
      <c r="Q185" s="52"/>
      <c r="R185" s="52"/>
      <c r="S185" s="52"/>
      <c r="T185" s="53"/>
      <c r="U185" s="31"/>
      <c r="V185" s="31"/>
      <c r="W185" s="31"/>
      <c r="X185" s="31"/>
      <c r="Y185" s="31"/>
      <c r="Z185" s="31"/>
      <c r="AA185" s="31"/>
      <c r="AB185" s="31"/>
      <c r="AC185" s="31"/>
      <c r="AD185" s="31"/>
      <c r="AE185" s="31"/>
      <c r="AT185" s="19" t="s">
        <v>270</v>
      </c>
      <c r="AU185" s="19" t="s">
        <v>85</v>
      </c>
    </row>
    <row r="186" spans="2:51" s="13" customFormat="1" ht="22.5">
      <c r="B186" s="149"/>
      <c r="D186" s="150" t="s">
        <v>154</v>
      </c>
      <c r="E186" s="151" t="s">
        <v>3</v>
      </c>
      <c r="F186" s="152" t="s">
        <v>261</v>
      </c>
      <c r="H186" s="151" t="s">
        <v>3</v>
      </c>
      <c r="L186" s="149"/>
      <c r="M186" s="153"/>
      <c r="N186" s="154"/>
      <c r="O186" s="154"/>
      <c r="P186" s="154"/>
      <c r="Q186" s="154"/>
      <c r="R186" s="154"/>
      <c r="S186" s="154"/>
      <c r="T186" s="155"/>
      <c r="AT186" s="151" t="s">
        <v>154</v>
      </c>
      <c r="AU186" s="151" t="s">
        <v>85</v>
      </c>
      <c r="AV186" s="13" t="s">
        <v>83</v>
      </c>
      <c r="AW186" s="13" t="s">
        <v>37</v>
      </c>
      <c r="AX186" s="13" t="s">
        <v>75</v>
      </c>
      <c r="AY186" s="151" t="s">
        <v>144</v>
      </c>
    </row>
    <row r="187" spans="2:51" s="14" customFormat="1" ht="12">
      <c r="B187" s="156"/>
      <c r="D187" s="150" t="s">
        <v>154</v>
      </c>
      <c r="E187" s="157" t="s">
        <v>3</v>
      </c>
      <c r="F187" s="158" t="s">
        <v>1878</v>
      </c>
      <c r="H187" s="159">
        <v>1</v>
      </c>
      <c r="L187" s="156"/>
      <c r="M187" s="160"/>
      <c r="N187" s="161"/>
      <c r="O187" s="161"/>
      <c r="P187" s="161"/>
      <c r="Q187" s="161"/>
      <c r="R187" s="161"/>
      <c r="S187" s="161"/>
      <c r="T187" s="162"/>
      <c r="AT187" s="157" t="s">
        <v>154</v>
      </c>
      <c r="AU187" s="157" t="s">
        <v>85</v>
      </c>
      <c r="AV187" s="14" t="s">
        <v>85</v>
      </c>
      <c r="AW187" s="14" t="s">
        <v>37</v>
      </c>
      <c r="AX187" s="14" t="s">
        <v>75</v>
      </c>
      <c r="AY187" s="157" t="s">
        <v>144</v>
      </c>
    </row>
    <row r="188" spans="1:65" s="2" customFormat="1" ht="24.2" customHeight="1">
      <c r="A188" s="31"/>
      <c r="B188" s="136"/>
      <c r="C188" s="173" t="s">
        <v>276</v>
      </c>
      <c r="D188" s="173" t="s">
        <v>174</v>
      </c>
      <c r="E188" s="174" t="s">
        <v>1879</v>
      </c>
      <c r="F188" s="175" t="s">
        <v>1881</v>
      </c>
      <c r="G188" s="176" t="s">
        <v>156</v>
      </c>
      <c r="H188" s="177">
        <v>1</v>
      </c>
      <c r="I188" s="178"/>
      <c r="J188" s="178">
        <f>ROUND(I188*H188,2)</f>
        <v>0</v>
      </c>
      <c r="K188" s="175" t="s">
        <v>157</v>
      </c>
      <c r="L188" s="179"/>
      <c r="M188" s="180" t="s">
        <v>3</v>
      </c>
      <c r="N188" s="181" t="s">
        <v>46</v>
      </c>
      <c r="O188" s="145">
        <v>0</v>
      </c>
      <c r="P188" s="145">
        <f>O188*H188</f>
        <v>0</v>
      </c>
      <c r="Q188" s="145">
        <v>0.01325</v>
      </c>
      <c r="R188" s="145">
        <f>Q188*H188</f>
        <v>0.01325</v>
      </c>
      <c r="S188" s="145">
        <v>0</v>
      </c>
      <c r="T188" s="146">
        <f>S188*H188</f>
        <v>0</v>
      </c>
      <c r="U188" s="31"/>
      <c r="V188" s="31"/>
      <c r="W188" s="31"/>
      <c r="X188" s="31"/>
      <c r="Y188" s="31"/>
      <c r="Z188" s="31"/>
      <c r="AA188" s="31"/>
      <c r="AB188" s="31"/>
      <c r="AC188" s="31"/>
      <c r="AD188" s="31"/>
      <c r="AE188" s="31"/>
      <c r="AR188" s="147" t="s">
        <v>177</v>
      </c>
      <c r="AT188" s="147" t="s">
        <v>174</v>
      </c>
      <c r="AU188" s="147" t="s">
        <v>85</v>
      </c>
      <c r="AY188" s="19" t="s">
        <v>144</v>
      </c>
      <c r="BE188" s="148">
        <f>IF(N188="základní",J188,0)</f>
        <v>0</v>
      </c>
      <c r="BF188" s="148">
        <f>IF(N188="snížená",J188,0)</f>
        <v>0</v>
      </c>
      <c r="BG188" s="148">
        <f>IF(N188="zákl. přenesená",J188,0)</f>
        <v>0</v>
      </c>
      <c r="BH188" s="148">
        <f>IF(N188="sníž. přenesená",J188,0)</f>
        <v>0</v>
      </c>
      <c r="BI188" s="148">
        <f>IF(N188="nulová",J188,0)</f>
        <v>0</v>
      </c>
      <c r="BJ188" s="19" t="s">
        <v>83</v>
      </c>
      <c r="BK188" s="148">
        <f>ROUND(I188*H188,2)</f>
        <v>0</v>
      </c>
      <c r="BL188" s="19" t="s">
        <v>152</v>
      </c>
      <c r="BM188" s="147" t="s">
        <v>277</v>
      </c>
    </row>
    <row r="189" spans="2:51" s="13" customFormat="1" ht="22.5">
      <c r="B189" s="149"/>
      <c r="D189" s="150" t="s">
        <v>154</v>
      </c>
      <c r="E189" s="151" t="s">
        <v>3</v>
      </c>
      <c r="F189" s="152" t="s">
        <v>261</v>
      </c>
      <c r="H189" s="151" t="s">
        <v>3</v>
      </c>
      <c r="L189" s="149"/>
      <c r="M189" s="153"/>
      <c r="N189" s="154"/>
      <c r="O189" s="154"/>
      <c r="P189" s="154"/>
      <c r="Q189" s="154"/>
      <c r="R189" s="154"/>
      <c r="S189" s="154"/>
      <c r="T189" s="155"/>
      <c r="AT189" s="151" t="s">
        <v>154</v>
      </c>
      <c r="AU189" s="151" t="s">
        <v>85</v>
      </c>
      <c r="AV189" s="13" t="s">
        <v>83</v>
      </c>
      <c r="AW189" s="13" t="s">
        <v>37</v>
      </c>
      <c r="AX189" s="13" t="s">
        <v>75</v>
      </c>
      <c r="AY189" s="151" t="s">
        <v>144</v>
      </c>
    </row>
    <row r="190" spans="2:51" s="14" customFormat="1" ht="12">
      <c r="B190" s="156"/>
      <c r="D190" s="150" t="s">
        <v>154</v>
      </c>
      <c r="E190" s="157" t="s">
        <v>3</v>
      </c>
      <c r="F190" s="158" t="s">
        <v>1880</v>
      </c>
      <c r="H190" s="159">
        <v>1</v>
      </c>
      <c r="L190" s="156"/>
      <c r="M190" s="160"/>
      <c r="N190" s="161"/>
      <c r="O190" s="161"/>
      <c r="P190" s="161"/>
      <c r="Q190" s="161"/>
      <c r="R190" s="161"/>
      <c r="S190" s="161"/>
      <c r="T190" s="162"/>
      <c r="AT190" s="157" t="s">
        <v>154</v>
      </c>
      <c r="AU190" s="157" t="s">
        <v>85</v>
      </c>
      <c r="AV190" s="14" t="s">
        <v>85</v>
      </c>
      <c r="AW190" s="14" t="s">
        <v>37</v>
      </c>
      <c r="AX190" s="14" t="s">
        <v>83</v>
      </c>
      <c r="AY190" s="157" t="s">
        <v>144</v>
      </c>
    </row>
    <row r="191" spans="2:63" s="12" customFormat="1" ht="22.9" customHeight="1">
      <c r="B191" s="124"/>
      <c r="D191" s="125" t="s">
        <v>74</v>
      </c>
      <c r="E191" s="134" t="s">
        <v>188</v>
      </c>
      <c r="F191" s="134" t="s">
        <v>278</v>
      </c>
      <c r="J191" s="135">
        <f>BK191</f>
        <v>0</v>
      </c>
      <c r="L191" s="124"/>
      <c r="M191" s="128"/>
      <c r="N191" s="129"/>
      <c r="O191" s="129"/>
      <c r="P191" s="130">
        <f>SUM(P192:P263)</f>
        <v>150.443233</v>
      </c>
      <c r="Q191" s="129"/>
      <c r="R191" s="130">
        <f>SUM(R192:R263)</f>
        <v>0.046241</v>
      </c>
      <c r="S191" s="129"/>
      <c r="T191" s="131">
        <f>SUM(T192:T263)</f>
        <v>17.805593</v>
      </c>
      <c r="AR191" s="125" t="s">
        <v>83</v>
      </c>
      <c r="AT191" s="132" t="s">
        <v>74</v>
      </c>
      <c r="AU191" s="132" t="s">
        <v>83</v>
      </c>
      <c r="AY191" s="125" t="s">
        <v>144</v>
      </c>
      <c r="BK191" s="133">
        <f>SUM(BK192:BK263)</f>
        <v>0</v>
      </c>
    </row>
    <row r="192" spans="1:65" s="2" customFormat="1" ht="37.9" customHeight="1">
      <c r="A192" s="31"/>
      <c r="B192" s="136"/>
      <c r="C192" s="137" t="s">
        <v>279</v>
      </c>
      <c r="D192" s="137" t="s">
        <v>147</v>
      </c>
      <c r="E192" s="138" t="s">
        <v>280</v>
      </c>
      <c r="F192" s="139" t="s">
        <v>281</v>
      </c>
      <c r="G192" s="140" t="s">
        <v>183</v>
      </c>
      <c r="H192" s="141">
        <f>H199</f>
        <v>355.7</v>
      </c>
      <c r="I192" s="142"/>
      <c r="J192" s="142">
        <f>ROUND(I192*H192,2)</f>
        <v>0</v>
      </c>
      <c r="K192" s="139" t="s">
        <v>157</v>
      </c>
      <c r="L192" s="32"/>
      <c r="M192" s="143" t="s">
        <v>3</v>
      </c>
      <c r="N192" s="144" t="s">
        <v>46</v>
      </c>
      <c r="O192" s="145">
        <v>0.105</v>
      </c>
      <c r="P192" s="145">
        <f>O192*H192</f>
        <v>37.348499999999994</v>
      </c>
      <c r="Q192" s="145">
        <v>0.00013</v>
      </c>
      <c r="R192" s="145">
        <f>Q192*H192</f>
        <v>0.046241</v>
      </c>
      <c r="S192" s="145">
        <v>0</v>
      </c>
      <c r="T192" s="146">
        <f>S192*H192</f>
        <v>0</v>
      </c>
      <c r="U192" s="31"/>
      <c r="V192" s="31"/>
      <c r="W192" s="31"/>
      <c r="X192" s="31"/>
      <c r="Y192" s="31"/>
      <c r="Z192" s="31"/>
      <c r="AA192" s="31"/>
      <c r="AB192" s="31"/>
      <c r="AC192" s="31"/>
      <c r="AD192" s="31"/>
      <c r="AE192" s="31"/>
      <c r="AR192" s="147" t="s">
        <v>152</v>
      </c>
      <c r="AT192" s="147" t="s">
        <v>147</v>
      </c>
      <c r="AU192" s="147" t="s">
        <v>85</v>
      </c>
      <c r="AY192" s="19" t="s">
        <v>144</v>
      </c>
      <c r="BE192" s="148">
        <f>IF(N192="základní",J192,0)</f>
        <v>0</v>
      </c>
      <c r="BF192" s="148">
        <f>IF(N192="snížená",J192,0)</f>
        <v>0</v>
      </c>
      <c r="BG192" s="148">
        <f>IF(N192="zákl. přenesená",J192,0)</f>
        <v>0</v>
      </c>
      <c r="BH192" s="148">
        <f>IF(N192="sníž. přenesená",J192,0)</f>
        <v>0</v>
      </c>
      <c r="BI192" s="148">
        <f>IF(N192="nulová",J192,0)</f>
        <v>0</v>
      </c>
      <c r="BJ192" s="19" t="s">
        <v>83</v>
      </c>
      <c r="BK192" s="148">
        <f>ROUND(I192*H192,2)</f>
        <v>0</v>
      </c>
      <c r="BL192" s="19" t="s">
        <v>152</v>
      </c>
      <c r="BM192" s="147" t="s">
        <v>282</v>
      </c>
    </row>
    <row r="193" spans="1:47" s="2" customFormat="1" ht="78">
      <c r="A193" s="31"/>
      <c r="B193" s="32"/>
      <c r="C193" s="31"/>
      <c r="D193" s="150" t="s">
        <v>158</v>
      </c>
      <c r="E193" s="31"/>
      <c r="F193" s="163" t="s">
        <v>283</v>
      </c>
      <c r="G193" s="31"/>
      <c r="H193" s="31"/>
      <c r="I193" s="31"/>
      <c r="J193" s="31"/>
      <c r="K193" s="31"/>
      <c r="L193" s="32"/>
      <c r="M193" s="164"/>
      <c r="N193" s="165"/>
      <c r="O193" s="52"/>
      <c r="P193" s="52"/>
      <c r="Q193" s="52"/>
      <c r="R193" s="52"/>
      <c r="S193" s="52"/>
      <c r="T193" s="53"/>
      <c r="U193" s="31"/>
      <c r="V193" s="31"/>
      <c r="W193" s="31"/>
      <c r="X193" s="31"/>
      <c r="Y193" s="31"/>
      <c r="Z193" s="31"/>
      <c r="AA193" s="31"/>
      <c r="AB193" s="31"/>
      <c r="AC193" s="31"/>
      <c r="AD193" s="31"/>
      <c r="AE193" s="31"/>
      <c r="AT193" s="19" t="s">
        <v>158</v>
      </c>
      <c r="AU193" s="19" t="s">
        <v>85</v>
      </c>
    </row>
    <row r="194" spans="2:51" s="13" customFormat="1" ht="12">
      <c r="B194" s="149"/>
      <c r="D194" s="150" t="s">
        <v>154</v>
      </c>
      <c r="E194" s="151" t="s">
        <v>3</v>
      </c>
      <c r="F194" s="152" t="s">
        <v>155</v>
      </c>
      <c r="H194" s="151" t="s">
        <v>3</v>
      </c>
      <c r="L194" s="149"/>
      <c r="M194" s="153"/>
      <c r="N194" s="154"/>
      <c r="O194" s="154"/>
      <c r="P194" s="154"/>
      <c r="Q194" s="154"/>
      <c r="R194" s="154"/>
      <c r="S194" s="154"/>
      <c r="T194" s="155"/>
      <c r="AT194" s="151" t="s">
        <v>154</v>
      </c>
      <c r="AU194" s="151" t="s">
        <v>85</v>
      </c>
      <c r="AV194" s="13" t="s">
        <v>83</v>
      </c>
      <c r="AW194" s="13" t="s">
        <v>37</v>
      </c>
      <c r="AX194" s="13" t="s">
        <v>75</v>
      </c>
      <c r="AY194" s="151" t="s">
        <v>144</v>
      </c>
    </row>
    <row r="195" spans="2:51" s="13" customFormat="1" ht="12">
      <c r="B195" s="149"/>
      <c r="D195" s="150" t="s">
        <v>154</v>
      </c>
      <c r="E195" s="151" t="s">
        <v>3</v>
      </c>
      <c r="F195" s="152" t="s">
        <v>166</v>
      </c>
      <c r="H195" s="151" t="s">
        <v>3</v>
      </c>
      <c r="L195" s="149"/>
      <c r="M195" s="153"/>
      <c r="N195" s="154"/>
      <c r="O195" s="154"/>
      <c r="P195" s="154"/>
      <c r="Q195" s="154"/>
      <c r="R195" s="154"/>
      <c r="S195" s="154"/>
      <c r="T195" s="155"/>
      <c r="AT195" s="151" t="s">
        <v>154</v>
      </c>
      <c r="AU195" s="151" t="s">
        <v>85</v>
      </c>
      <c r="AV195" s="13" t="s">
        <v>83</v>
      </c>
      <c r="AW195" s="13" t="s">
        <v>37</v>
      </c>
      <c r="AX195" s="13" t="s">
        <v>75</v>
      </c>
      <c r="AY195" s="151" t="s">
        <v>144</v>
      </c>
    </row>
    <row r="196" spans="2:51" s="14" customFormat="1" ht="22.5">
      <c r="B196" s="156"/>
      <c r="D196" s="150" t="s">
        <v>154</v>
      </c>
      <c r="E196" s="157" t="s">
        <v>3</v>
      </c>
      <c r="F196" s="158" t="s">
        <v>1882</v>
      </c>
      <c r="H196" s="159">
        <f>2.55+5.07+5.07+20.75+6.59+3.16+1.36+5.17+1.22+1.32+6.93+3.14+15.99+15.46+21.38+10.91+10.29+21.25+16.88</f>
        <v>174.48999999999998</v>
      </c>
      <c r="L196" s="156"/>
      <c r="M196" s="160"/>
      <c r="N196" s="161"/>
      <c r="O196" s="161"/>
      <c r="P196" s="161"/>
      <c r="Q196" s="161"/>
      <c r="R196" s="161"/>
      <c r="S196" s="161"/>
      <c r="T196" s="162"/>
      <c r="AT196" s="157" t="s">
        <v>154</v>
      </c>
      <c r="AU196" s="157" t="s">
        <v>85</v>
      </c>
      <c r="AV196" s="14" t="s">
        <v>85</v>
      </c>
      <c r="AW196" s="14" t="s">
        <v>37</v>
      </c>
      <c r="AX196" s="14" t="s">
        <v>75</v>
      </c>
      <c r="AY196" s="157" t="s">
        <v>144</v>
      </c>
    </row>
    <row r="197" spans="2:51" s="13" customFormat="1" ht="12">
      <c r="B197" s="149"/>
      <c r="D197" s="150" t="s">
        <v>154</v>
      </c>
      <c r="E197" s="151" t="s">
        <v>3</v>
      </c>
      <c r="F197" s="152" t="s">
        <v>167</v>
      </c>
      <c r="H197" s="151" t="s">
        <v>3</v>
      </c>
      <c r="L197" s="149"/>
      <c r="M197" s="153"/>
      <c r="N197" s="154"/>
      <c r="O197" s="154"/>
      <c r="P197" s="154"/>
      <c r="Q197" s="154"/>
      <c r="R197" s="154"/>
      <c r="S197" s="154"/>
      <c r="T197" s="155"/>
      <c r="AT197" s="151" t="s">
        <v>154</v>
      </c>
      <c r="AU197" s="151" t="s">
        <v>85</v>
      </c>
      <c r="AV197" s="13" t="s">
        <v>83</v>
      </c>
      <c r="AW197" s="13" t="s">
        <v>37</v>
      </c>
      <c r="AX197" s="13" t="s">
        <v>75</v>
      </c>
      <c r="AY197" s="151" t="s">
        <v>144</v>
      </c>
    </row>
    <row r="198" spans="2:51" s="14" customFormat="1" ht="22.5">
      <c r="B198" s="156"/>
      <c r="D198" s="150" t="s">
        <v>154</v>
      </c>
      <c r="E198" s="157" t="s">
        <v>3</v>
      </c>
      <c r="F198" s="158" t="s">
        <v>1883</v>
      </c>
      <c r="H198" s="159">
        <f>9.36+30.05+11.31+7.06+7.06+2.84+8.39+2.77+8.56+8.56+8.39+13.14+9.09+8.54+12.9+16.53+16.66</f>
        <v>181.21</v>
      </c>
      <c r="L198" s="156"/>
      <c r="M198" s="160"/>
      <c r="N198" s="161"/>
      <c r="O198" s="161"/>
      <c r="P198" s="161"/>
      <c r="Q198" s="161"/>
      <c r="R198" s="161"/>
      <c r="S198" s="161"/>
      <c r="T198" s="162"/>
      <c r="AT198" s="157" t="s">
        <v>154</v>
      </c>
      <c r="AU198" s="157" t="s">
        <v>85</v>
      </c>
      <c r="AV198" s="14" t="s">
        <v>85</v>
      </c>
      <c r="AW198" s="14" t="s">
        <v>37</v>
      </c>
      <c r="AX198" s="14" t="s">
        <v>75</v>
      </c>
      <c r="AY198" s="157" t="s">
        <v>144</v>
      </c>
    </row>
    <row r="199" spans="2:51" s="15" customFormat="1" ht="12">
      <c r="B199" s="166"/>
      <c r="D199" s="150" t="s">
        <v>154</v>
      </c>
      <c r="E199" s="167" t="s">
        <v>3</v>
      </c>
      <c r="F199" s="168" t="s">
        <v>161</v>
      </c>
      <c r="H199" s="169">
        <f>H196+H198</f>
        <v>355.7</v>
      </c>
      <c r="L199" s="166"/>
      <c r="M199" s="170"/>
      <c r="N199" s="171"/>
      <c r="O199" s="171"/>
      <c r="P199" s="171"/>
      <c r="Q199" s="171"/>
      <c r="R199" s="171"/>
      <c r="S199" s="171"/>
      <c r="T199" s="172"/>
      <c r="AT199" s="167" t="s">
        <v>154</v>
      </c>
      <c r="AU199" s="167" t="s">
        <v>85</v>
      </c>
      <c r="AV199" s="15" t="s">
        <v>152</v>
      </c>
      <c r="AW199" s="15" t="s">
        <v>37</v>
      </c>
      <c r="AX199" s="15" t="s">
        <v>83</v>
      </c>
      <c r="AY199" s="167" t="s">
        <v>144</v>
      </c>
    </row>
    <row r="200" spans="1:65" s="2" customFormat="1" ht="37.9" customHeight="1">
      <c r="A200" s="31"/>
      <c r="B200" s="136"/>
      <c r="C200" s="137" t="s">
        <v>286</v>
      </c>
      <c r="D200" s="137" t="s">
        <v>147</v>
      </c>
      <c r="E200" s="138" t="s">
        <v>287</v>
      </c>
      <c r="F200" s="139" t="s">
        <v>288</v>
      </c>
      <c r="G200" s="140" t="s">
        <v>183</v>
      </c>
      <c r="H200" s="141">
        <f>H206</f>
        <v>18.335</v>
      </c>
      <c r="I200" s="142"/>
      <c r="J200" s="142">
        <f>ROUND(I200*H200,2)</f>
        <v>0</v>
      </c>
      <c r="K200" s="139" t="s">
        <v>157</v>
      </c>
      <c r="L200" s="32"/>
      <c r="M200" s="143" t="s">
        <v>3</v>
      </c>
      <c r="N200" s="144" t="s">
        <v>46</v>
      </c>
      <c r="O200" s="145">
        <v>0.245</v>
      </c>
      <c r="P200" s="145">
        <f>O200*H200</f>
        <v>4.492075</v>
      </c>
      <c r="Q200" s="145">
        <v>0</v>
      </c>
      <c r="R200" s="145">
        <f>Q200*H200</f>
        <v>0</v>
      </c>
      <c r="S200" s="145">
        <v>0.131</v>
      </c>
      <c r="T200" s="146">
        <f>S200*H200</f>
        <v>2.401885</v>
      </c>
      <c r="U200" s="31"/>
      <c r="V200" s="31"/>
      <c r="W200" s="31"/>
      <c r="X200" s="31"/>
      <c r="Y200" s="31"/>
      <c r="Z200" s="31"/>
      <c r="AA200" s="31"/>
      <c r="AB200" s="31"/>
      <c r="AC200" s="31"/>
      <c r="AD200" s="31"/>
      <c r="AE200" s="31"/>
      <c r="AR200" s="147" t="s">
        <v>152</v>
      </c>
      <c r="AT200" s="147" t="s">
        <v>147</v>
      </c>
      <c r="AU200" s="147" t="s">
        <v>85</v>
      </c>
      <c r="AY200" s="19" t="s">
        <v>144</v>
      </c>
      <c r="BE200" s="148">
        <f>IF(N200="základní",J200,0)</f>
        <v>0</v>
      </c>
      <c r="BF200" s="148">
        <f>IF(N200="snížená",J200,0)</f>
        <v>0</v>
      </c>
      <c r="BG200" s="148">
        <f>IF(N200="zákl. přenesená",J200,0)</f>
        <v>0</v>
      </c>
      <c r="BH200" s="148">
        <f>IF(N200="sníž. přenesená",J200,0)</f>
        <v>0</v>
      </c>
      <c r="BI200" s="148">
        <f>IF(N200="nulová",J200,0)</f>
        <v>0</v>
      </c>
      <c r="BJ200" s="19" t="s">
        <v>83</v>
      </c>
      <c r="BK200" s="148">
        <f>ROUND(I200*H200,2)</f>
        <v>0</v>
      </c>
      <c r="BL200" s="19" t="s">
        <v>152</v>
      </c>
      <c r="BM200" s="147" t="s">
        <v>289</v>
      </c>
    </row>
    <row r="201" spans="2:51" s="13" customFormat="1" ht="22.5">
      <c r="B201" s="149"/>
      <c r="D201" s="150" t="s">
        <v>154</v>
      </c>
      <c r="E201" s="151" t="s">
        <v>3</v>
      </c>
      <c r="F201" s="152" t="s">
        <v>232</v>
      </c>
      <c r="H201" s="151" t="s">
        <v>3</v>
      </c>
      <c r="L201" s="149"/>
      <c r="M201" s="153"/>
      <c r="N201" s="154"/>
      <c r="O201" s="154"/>
      <c r="P201" s="154"/>
      <c r="Q201" s="154"/>
      <c r="R201" s="154"/>
      <c r="S201" s="154"/>
      <c r="T201" s="155"/>
      <c r="AT201" s="151" t="s">
        <v>154</v>
      </c>
      <c r="AU201" s="151" t="s">
        <v>85</v>
      </c>
      <c r="AV201" s="13" t="s">
        <v>83</v>
      </c>
      <c r="AW201" s="13" t="s">
        <v>37</v>
      </c>
      <c r="AX201" s="13" t="s">
        <v>75</v>
      </c>
      <c r="AY201" s="151" t="s">
        <v>144</v>
      </c>
    </row>
    <row r="202" spans="2:51" s="13" customFormat="1" ht="12">
      <c r="B202" s="149"/>
      <c r="D202" s="150" t="s">
        <v>154</v>
      </c>
      <c r="E202" s="151" t="s">
        <v>3</v>
      </c>
      <c r="F202" s="152" t="s">
        <v>166</v>
      </c>
      <c r="H202" s="151" t="s">
        <v>3</v>
      </c>
      <c r="L202" s="149"/>
      <c r="M202" s="153"/>
      <c r="N202" s="154"/>
      <c r="O202" s="154"/>
      <c r="P202" s="154"/>
      <c r="Q202" s="154"/>
      <c r="R202" s="154"/>
      <c r="S202" s="154"/>
      <c r="T202" s="155"/>
      <c r="AT202" s="151" t="s">
        <v>154</v>
      </c>
      <c r="AU202" s="151" t="s">
        <v>85</v>
      </c>
      <c r="AV202" s="13" t="s">
        <v>83</v>
      </c>
      <c r="AW202" s="13" t="s">
        <v>37</v>
      </c>
      <c r="AX202" s="13" t="s">
        <v>75</v>
      </c>
      <c r="AY202" s="151" t="s">
        <v>144</v>
      </c>
    </row>
    <row r="203" spans="2:51" s="14" customFormat="1" ht="12">
      <c r="B203" s="156"/>
      <c r="D203" s="150" t="s">
        <v>154</v>
      </c>
      <c r="E203" s="157" t="s">
        <v>3</v>
      </c>
      <c r="F203" s="158" t="s">
        <v>1884</v>
      </c>
      <c r="H203" s="159">
        <f>2.7*3+(2.08+1.09)*2.1-3*0.6*1.97</f>
        <v>11.211000000000002</v>
      </c>
      <c r="L203" s="156"/>
      <c r="M203" s="160"/>
      <c r="N203" s="161"/>
      <c r="O203" s="161"/>
      <c r="P203" s="161"/>
      <c r="Q203" s="161"/>
      <c r="R203" s="161"/>
      <c r="S203" s="161"/>
      <c r="T203" s="162"/>
      <c r="AT203" s="157" t="s">
        <v>154</v>
      </c>
      <c r="AU203" s="157" t="s">
        <v>85</v>
      </c>
      <c r="AV203" s="14" t="s">
        <v>85</v>
      </c>
      <c r="AW203" s="14" t="s">
        <v>37</v>
      </c>
      <c r="AX203" s="14" t="s">
        <v>75</v>
      </c>
      <c r="AY203" s="157" t="s">
        <v>144</v>
      </c>
    </row>
    <row r="204" spans="2:51" s="13" customFormat="1" ht="12">
      <c r="B204" s="149"/>
      <c r="D204" s="150" t="s">
        <v>154</v>
      </c>
      <c r="E204" s="151" t="s">
        <v>3</v>
      </c>
      <c r="F204" s="152" t="s">
        <v>167</v>
      </c>
      <c r="H204" s="151" t="s">
        <v>3</v>
      </c>
      <c r="L204" s="149"/>
      <c r="M204" s="153"/>
      <c r="N204" s="154"/>
      <c r="O204" s="154"/>
      <c r="P204" s="154"/>
      <c r="Q204" s="154"/>
      <c r="R204" s="154"/>
      <c r="S204" s="154"/>
      <c r="T204" s="155"/>
      <c r="AT204" s="151" t="s">
        <v>154</v>
      </c>
      <c r="AU204" s="151" t="s">
        <v>85</v>
      </c>
      <c r="AV204" s="13" t="s">
        <v>83</v>
      </c>
      <c r="AW204" s="13" t="s">
        <v>37</v>
      </c>
      <c r="AX204" s="13" t="s">
        <v>75</v>
      </c>
      <c r="AY204" s="151" t="s">
        <v>144</v>
      </c>
    </row>
    <row r="205" spans="2:51" s="14" customFormat="1" ht="12">
      <c r="B205" s="156"/>
      <c r="D205" s="150" t="s">
        <v>154</v>
      </c>
      <c r="E205" s="157" t="s">
        <v>3</v>
      </c>
      <c r="F205" s="158" t="s">
        <v>290</v>
      </c>
      <c r="H205" s="159">
        <v>7.124</v>
      </c>
      <c r="L205" s="156"/>
      <c r="M205" s="160"/>
      <c r="N205" s="161"/>
      <c r="O205" s="161"/>
      <c r="P205" s="161"/>
      <c r="Q205" s="161"/>
      <c r="R205" s="161"/>
      <c r="S205" s="161"/>
      <c r="T205" s="162"/>
      <c r="AT205" s="157" t="s">
        <v>154</v>
      </c>
      <c r="AU205" s="157" t="s">
        <v>85</v>
      </c>
      <c r="AV205" s="14" t="s">
        <v>85</v>
      </c>
      <c r="AW205" s="14" t="s">
        <v>37</v>
      </c>
      <c r="AX205" s="14" t="s">
        <v>75</v>
      </c>
      <c r="AY205" s="157" t="s">
        <v>144</v>
      </c>
    </row>
    <row r="206" spans="2:51" s="15" customFormat="1" ht="12">
      <c r="B206" s="166"/>
      <c r="D206" s="150" t="s">
        <v>154</v>
      </c>
      <c r="E206" s="167" t="s">
        <v>3</v>
      </c>
      <c r="F206" s="168" t="s">
        <v>161</v>
      </c>
      <c r="H206" s="169">
        <f>H203+H205</f>
        <v>18.335</v>
      </c>
      <c r="L206" s="166"/>
      <c r="M206" s="170"/>
      <c r="N206" s="171"/>
      <c r="O206" s="171"/>
      <c r="P206" s="171"/>
      <c r="Q206" s="171"/>
      <c r="R206" s="171"/>
      <c r="S206" s="171"/>
      <c r="T206" s="172"/>
      <c r="AT206" s="167" t="s">
        <v>154</v>
      </c>
      <c r="AU206" s="167" t="s">
        <v>85</v>
      </c>
      <c r="AV206" s="15" t="s">
        <v>152</v>
      </c>
      <c r="AW206" s="15" t="s">
        <v>37</v>
      </c>
      <c r="AX206" s="15" t="s">
        <v>83</v>
      </c>
      <c r="AY206" s="167" t="s">
        <v>144</v>
      </c>
    </row>
    <row r="207" spans="1:65" s="2" customFormat="1" ht="37.9" customHeight="1">
      <c r="A207" s="31"/>
      <c r="B207" s="136"/>
      <c r="C207" s="137" t="s">
        <v>291</v>
      </c>
      <c r="D207" s="137" t="s">
        <v>147</v>
      </c>
      <c r="E207" s="138" t="s">
        <v>292</v>
      </c>
      <c r="F207" s="139" t="s">
        <v>293</v>
      </c>
      <c r="G207" s="140" t="s">
        <v>183</v>
      </c>
      <c r="H207" s="141">
        <v>40.4</v>
      </c>
      <c r="I207" s="142"/>
      <c r="J207" s="142">
        <f>ROUND(I207*H207,2)</f>
        <v>0</v>
      </c>
      <c r="K207" s="139" t="s">
        <v>157</v>
      </c>
      <c r="L207" s="32"/>
      <c r="M207" s="143" t="s">
        <v>3</v>
      </c>
      <c r="N207" s="144" t="s">
        <v>46</v>
      </c>
      <c r="O207" s="145">
        <v>0.162</v>
      </c>
      <c r="P207" s="145">
        <f>O207*H207</f>
        <v>6.5448</v>
      </c>
      <c r="Q207" s="145">
        <v>0</v>
      </c>
      <c r="R207" s="145">
        <f>Q207*H207</f>
        <v>0</v>
      </c>
      <c r="S207" s="145">
        <v>0.035</v>
      </c>
      <c r="T207" s="146">
        <f>S207*H207</f>
        <v>1.4140000000000001</v>
      </c>
      <c r="U207" s="31"/>
      <c r="V207" s="31"/>
      <c r="W207" s="31"/>
      <c r="X207" s="31"/>
      <c r="Y207" s="31"/>
      <c r="Z207" s="31"/>
      <c r="AA207" s="31"/>
      <c r="AB207" s="31"/>
      <c r="AC207" s="31"/>
      <c r="AD207" s="31"/>
      <c r="AE207" s="31"/>
      <c r="AR207" s="147" t="s">
        <v>152</v>
      </c>
      <c r="AT207" s="147" t="s">
        <v>147</v>
      </c>
      <c r="AU207" s="147" t="s">
        <v>85</v>
      </c>
      <c r="AY207" s="19" t="s">
        <v>144</v>
      </c>
      <c r="BE207" s="148">
        <f>IF(N207="základní",J207,0)</f>
        <v>0</v>
      </c>
      <c r="BF207" s="148">
        <f>IF(N207="snížená",J207,0)</f>
        <v>0</v>
      </c>
      <c r="BG207" s="148">
        <f>IF(N207="zákl. přenesená",J207,0)</f>
        <v>0</v>
      </c>
      <c r="BH207" s="148">
        <f>IF(N207="sníž. přenesená",J207,0)</f>
        <v>0</v>
      </c>
      <c r="BI207" s="148">
        <f>IF(N207="nulová",J207,0)</f>
        <v>0</v>
      </c>
      <c r="BJ207" s="19" t="s">
        <v>83</v>
      </c>
      <c r="BK207" s="148">
        <f>ROUND(I207*H207,2)</f>
        <v>0</v>
      </c>
      <c r="BL207" s="19" t="s">
        <v>152</v>
      </c>
      <c r="BM207" s="147" t="s">
        <v>294</v>
      </c>
    </row>
    <row r="208" spans="1:47" s="2" customFormat="1" ht="29.25">
      <c r="A208" s="31"/>
      <c r="B208" s="32"/>
      <c r="C208" s="31"/>
      <c r="D208" s="150" t="s">
        <v>158</v>
      </c>
      <c r="E208" s="31"/>
      <c r="F208" s="163" t="s">
        <v>295</v>
      </c>
      <c r="G208" s="31"/>
      <c r="H208" s="31"/>
      <c r="I208" s="31"/>
      <c r="J208" s="31"/>
      <c r="K208" s="31"/>
      <c r="L208" s="32"/>
      <c r="M208" s="164"/>
      <c r="N208" s="165"/>
      <c r="O208" s="52"/>
      <c r="P208" s="52"/>
      <c r="Q208" s="52"/>
      <c r="R208" s="52"/>
      <c r="S208" s="52"/>
      <c r="T208" s="53"/>
      <c r="U208" s="31"/>
      <c r="V208" s="31"/>
      <c r="W208" s="31"/>
      <c r="X208" s="31"/>
      <c r="Y208" s="31"/>
      <c r="Z208" s="31"/>
      <c r="AA208" s="31"/>
      <c r="AB208" s="31"/>
      <c r="AC208" s="31"/>
      <c r="AD208" s="31"/>
      <c r="AE208" s="31"/>
      <c r="AT208" s="19" t="s">
        <v>158</v>
      </c>
      <c r="AU208" s="19" t="s">
        <v>85</v>
      </c>
    </row>
    <row r="209" spans="2:51" s="13" customFormat="1" ht="22.5">
      <c r="B209" s="149"/>
      <c r="D209" s="150" t="s">
        <v>154</v>
      </c>
      <c r="E209" s="151" t="s">
        <v>3</v>
      </c>
      <c r="F209" s="152" t="s">
        <v>232</v>
      </c>
      <c r="H209" s="151" t="s">
        <v>3</v>
      </c>
      <c r="L209" s="149"/>
      <c r="M209" s="153"/>
      <c r="N209" s="154"/>
      <c r="O209" s="154"/>
      <c r="P209" s="154"/>
      <c r="Q209" s="154"/>
      <c r="R209" s="154"/>
      <c r="S209" s="154"/>
      <c r="T209" s="155"/>
      <c r="AT209" s="151" t="s">
        <v>154</v>
      </c>
      <c r="AU209" s="151" t="s">
        <v>85</v>
      </c>
      <c r="AV209" s="13" t="s">
        <v>83</v>
      </c>
      <c r="AW209" s="13" t="s">
        <v>37</v>
      </c>
      <c r="AX209" s="13" t="s">
        <v>75</v>
      </c>
      <c r="AY209" s="151" t="s">
        <v>144</v>
      </c>
    </row>
    <row r="210" spans="2:51" s="13" customFormat="1" ht="12">
      <c r="B210" s="149"/>
      <c r="D210" s="150" t="s">
        <v>154</v>
      </c>
      <c r="E210" s="151" t="s">
        <v>3</v>
      </c>
      <c r="F210" s="152" t="s">
        <v>166</v>
      </c>
      <c r="H210" s="151" t="s">
        <v>3</v>
      </c>
      <c r="L210" s="149"/>
      <c r="M210" s="153"/>
      <c r="N210" s="154"/>
      <c r="O210" s="154"/>
      <c r="P210" s="154"/>
      <c r="Q210" s="154"/>
      <c r="R210" s="154"/>
      <c r="S210" s="154"/>
      <c r="T210" s="155"/>
      <c r="AT210" s="151" t="s">
        <v>154</v>
      </c>
      <c r="AU210" s="151" t="s">
        <v>85</v>
      </c>
      <c r="AV210" s="13" t="s">
        <v>83</v>
      </c>
      <c r="AW210" s="13" t="s">
        <v>37</v>
      </c>
      <c r="AX210" s="13" t="s">
        <v>75</v>
      </c>
      <c r="AY210" s="151" t="s">
        <v>144</v>
      </c>
    </row>
    <row r="211" spans="2:51" s="14" customFormat="1" ht="12">
      <c r="B211" s="156"/>
      <c r="D211" s="150" t="s">
        <v>154</v>
      </c>
      <c r="E211" s="157" t="s">
        <v>3</v>
      </c>
      <c r="F211" s="158" t="s">
        <v>296</v>
      </c>
      <c r="H211" s="159">
        <v>29.39</v>
      </c>
      <c r="L211" s="156"/>
      <c r="M211" s="160"/>
      <c r="N211" s="161"/>
      <c r="O211" s="161"/>
      <c r="P211" s="161"/>
      <c r="Q211" s="161"/>
      <c r="R211" s="161"/>
      <c r="S211" s="161"/>
      <c r="T211" s="162"/>
      <c r="AT211" s="157" t="s">
        <v>154</v>
      </c>
      <c r="AU211" s="157" t="s">
        <v>85</v>
      </c>
      <c r="AV211" s="14" t="s">
        <v>85</v>
      </c>
      <c r="AW211" s="14" t="s">
        <v>37</v>
      </c>
      <c r="AX211" s="14" t="s">
        <v>75</v>
      </c>
      <c r="AY211" s="157" t="s">
        <v>144</v>
      </c>
    </row>
    <row r="212" spans="2:51" s="13" customFormat="1" ht="12">
      <c r="B212" s="149"/>
      <c r="D212" s="150" t="s">
        <v>154</v>
      </c>
      <c r="E212" s="151" t="s">
        <v>3</v>
      </c>
      <c r="F212" s="152" t="s">
        <v>167</v>
      </c>
      <c r="H212" s="151" t="s">
        <v>3</v>
      </c>
      <c r="L212" s="149"/>
      <c r="M212" s="153"/>
      <c r="N212" s="154"/>
      <c r="O212" s="154"/>
      <c r="P212" s="154"/>
      <c r="Q212" s="154"/>
      <c r="R212" s="154"/>
      <c r="S212" s="154"/>
      <c r="T212" s="155"/>
      <c r="AT212" s="151" t="s">
        <v>154</v>
      </c>
      <c r="AU212" s="151" t="s">
        <v>85</v>
      </c>
      <c r="AV212" s="13" t="s">
        <v>83</v>
      </c>
      <c r="AW212" s="13" t="s">
        <v>37</v>
      </c>
      <c r="AX212" s="13" t="s">
        <v>75</v>
      </c>
      <c r="AY212" s="151" t="s">
        <v>144</v>
      </c>
    </row>
    <row r="213" spans="2:51" s="14" customFormat="1" ht="12">
      <c r="B213" s="156"/>
      <c r="D213" s="150" t="s">
        <v>154</v>
      </c>
      <c r="E213" s="157" t="s">
        <v>3</v>
      </c>
      <c r="F213" s="158" t="s">
        <v>297</v>
      </c>
      <c r="H213" s="159">
        <v>11.01</v>
      </c>
      <c r="L213" s="156"/>
      <c r="M213" s="160"/>
      <c r="N213" s="161"/>
      <c r="O213" s="161"/>
      <c r="P213" s="161"/>
      <c r="Q213" s="161"/>
      <c r="R213" s="161"/>
      <c r="S213" s="161"/>
      <c r="T213" s="162"/>
      <c r="AT213" s="157" t="s">
        <v>154</v>
      </c>
      <c r="AU213" s="157" t="s">
        <v>85</v>
      </c>
      <c r="AV213" s="14" t="s">
        <v>85</v>
      </c>
      <c r="AW213" s="14" t="s">
        <v>37</v>
      </c>
      <c r="AX213" s="14" t="s">
        <v>75</v>
      </c>
      <c r="AY213" s="157" t="s">
        <v>144</v>
      </c>
    </row>
    <row r="214" spans="2:51" s="15" customFormat="1" ht="12">
      <c r="B214" s="166"/>
      <c r="D214" s="150" t="s">
        <v>154</v>
      </c>
      <c r="E214" s="167" t="s">
        <v>3</v>
      </c>
      <c r="F214" s="168" t="s">
        <v>161</v>
      </c>
      <c r="H214" s="169">
        <v>40.4</v>
      </c>
      <c r="L214" s="166"/>
      <c r="M214" s="170"/>
      <c r="N214" s="171"/>
      <c r="O214" s="171"/>
      <c r="P214" s="171"/>
      <c r="Q214" s="171"/>
      <c r="R214" s="171"/>
      <c r="S214" s="171"/>
      <c r="T214" s="172"/>
      <c r="AT214" s="167" t="s">
        <v>154</v>
      </c>
      <c r="AU214" s="167" t="s">
        <v>85</v>
      </c>
      <c r="AV214" s="15" t="s">
        <v>152</v>
      </c>
      <c r="AW214" s="15" t="s">
        <v>37</v>
      </c>
      <c r="AX214" s="15" t="s">
        <v>83</v>
      </c>
      <c r="AY214" s="167" t="s">
        <v>144</v>
      </c>
    </row>
    <row r="215" spans="1:65" s="2" customFormat="1" ht="37.9" customHeight="1">
      <c r="A215" s="31"/>
      <c r="B215" s="136"/>
      <c r="C215" s="137" t="s">
        <v>298</v>
      </c>
      <c r="D215" s="137" t="s">
        <v>147</v>
      </c>
      <c r="E215" s="138" t="s">
        <v>299</v>
      </c>
      <c r="F215" s="139" t="s">
        <v>300</v>
      </c>
      <c r="G215" s="140" t="s">
        <v>183</v>
      </c>
      <c r="H215" s="141">
        <v>51.75</v>
      </c>
      <c r="I215" s="142"/>
      <c r="J215" s="142">
        <f>ROUND(I215*H215,2)</f>
        <v>0</v>
      </c>
      <c r="K215" s="139" t="s">
        <v>157</v>
      </c>
      <c r="L215" s="32"/>
      <c r="M215" s="143" t="s">
        <v>3</v>
      </c>
      <c r="N215" s="144" t="s">
        <v>46</v>
      </c>
      <c r="O215" s="145">
        <v>0.471</v>
      </c>
      <c r="P215" s="145">
        <f>O215*H215</f>
        <v>24.37425</v>
      </c>
      <c r="Q215" s="145">
        <v>0</v>
      </c>
      <c r="R215" s="145">
        <f>Q215*H215</f>
        <v>0</v>
      </c>
      <c r="S215" s="145">
        <v>0.038</v>
      </c>
      <c r="T215" s="146">
        <f>S215*H215</f>
        <v>1.9665</v>
      </c>
      <c r="U215" s="31"/>
      <c r="V215" s="31"/>
      <c r="W215" s="31"/>
      <c r="X215" s="31"/>
      <c r="Y215" s="31"/>
      <c r="Z215" s="31"/>
      <c r="AA215" s="31"/>
      <c r="AB215" s="31"/>
      <c r="AC215" s="31"/>
      <c r="AD215" s="31"/>
      <c r="AE215" s="31"/>
      <c r="AR215" s="147" t="s">
        <v>152</v>
      </c>
      <c r="AT215" s="147" t="s">
        <v>147</v>
      </c>
      <c r="AU215" s="147" t="s">
        <v>85</v>
      </c>
      <c r="AY215" s="19" t="s">
        <v>144</v>
      </c>
      <c r="BE215" s="148">
        <f>IF(N215="základní",J215,0)</f>
        <v>0</v>
      </c>
      <c r="BF215" s="148">
        <f>IF(N215="snížená",J215,0)</f>
        <v>0</v>
      </c>
      <c r="BG215" s="148">
        <f>IF(N215="zákl. přenesená",J215,0)</f>
        <v>0</v>
      </c>
      <c r="BH215" s="148">
        <f>IF(N215="sníž. přenesená",J215,0)</f>
        <v>0</v>
      </c>
      <c r="BI215" s="148">
        <f>IF(N215="nulová",J215,0)</f>
        <v>0</v>
      </c>
      <c r="BJ215" s="19" t="s">
        <v>83</v>
      </c>
      <c r="BK215" s="148">
        <f>ROUND(I215*H215,2)</f>
        <v>0</v>
      </c>
      <c r="BL215" s="19" t="s">
        <v>152</v>
      </c>
      <c r="BM215" s="147" t="s">
        <v>301</v>
      </c>
    </row>
    <row r="216" spans="1:47" s="2" customFormat="1" ht="39">
      <c r="A216" s="31"/>
      <c r="B216" s="32"/>
      <c r="C216" s="31"/>
      <c r="D216" s="150" t="s">
        <v>158</v>
      </c>
      <c r="E216" s="31"/>
      <c r="F216" s="163" t="s">
        <v>302</v>
      </c>
      <c r="G216" s="31"/>
      <c r="H216" s="31"/>
      <c r="I216" s="31"/>
      <c r="J216" s="31"/>
      <c r="K216" s="31"/>
      <c r="L216" s="32"/>
      <c r="M216" s="164"/>
      <c r="N216" s="165"/>
      <c r="O216" s="52"/>
      <c r="P216" s="52"/>
      <c r="Q216" s="52"/>
      <c r="R216" s="52"/>
      <c r="S216" s="52"/>
      <c r="T216" s="53"/>
      <c r="U216" s="31"/>
      <c r="V216" s="31"/>
      <c r="W216" s="31"/>
      <c r="X216" s="31"/>
      <c r="Y216" s="31"/>
      <c r="Z216" s="31"/>
      <c r="AA216" s="31"/>
      <c r="AB216" s="31"/>
      <c r="AC216" s="31"/>
      <c r="AD216" s="31"/>
      <c r="AE216" s="31"/>
      <c r="AT216" s="19" t="s">
        <v>158</v>
      </c>
      <c r="AU216" s="19" t="s">
        <v>85</v>
      </c>
    </row>
    <row r="217" spans="2:51" s="13" customFormat="1" ht="22.5">
      <c r="B217" s="149"/>
      <c r="D217" s="150" t="s">
        <v>154</v>
      </c>
      <c r="E217" s="151" t="s">
        <v>3</v>
      </c>
      <c r="F217" s="152" t="s">
        <v>232</v>
      </c>
      <c r="H217" s="151" t="s">
        <v>3</v>
      </c>
      <c r="L217" s="149"/>
      <c r="M217" s="153"/>
      <c r="N217" s="154"/>
      <c r="O217" s="154"/>
      <c r="P217" s="154"/>
      <c r="Q217" s="154"/>
      <c r="R217" s="154"/>
      <c r="S217" s="154"/>
      <c r="T217" s="155"/>
      <c r="AT217" s="151" t="s">
        <v>154</v>
      </c>
      <c r="AU217" s="151" t="s">
        <v>85</v>
      </c>
      <c r="AV217" s="13" t="s">
        <v>83</v>
      </c>
      <c r="AW217" s="13" t="s">
        <v>37</v>
      </c>
      <c r="AX217" s="13" t="s">
        <v>75</v>
      </c>
      <c r="AY217" s="151" t="s">
        <v>144</v>
      </c>
    </row>
    <row r="218" spans="2:51" s="13" customFormat="1" ht="12">
      <c r="B218" s="149"/>
      <c r="D218" s="150" t="s">
        <v>154</v>
      </c>
      <c r="E218" s="151" t="s">
        <v>3</v>
      </c>
      <c r="F218" s="152" t="s">
        <v>166</v>
      </c>
      <c r="H218" s="151" t="s">
        <v>3</v>
      </c>
      <c r="L218" s="149"/>
      <c r="M218" s="153"/>
      <c r="N218" s="154"/>
      <c r="O218" s="154"/>
      <c r="P218" s="154"/>
      <c r="Q218" s="154"/>
      <c r="R218" s="154"/>
      <c r="S218" s="154"/>
      <c r="T218" s="155"/>
      <c r="AT218" s="151" t="s">
        <v>154</v>
      </c>
      <c r="AU218" s="151" t="s">
        <v>85</v>
      </c>
      <c r="AV218" s="13" t="s">
        <v>83</v>
      </c>
      <c r="AW218" s="13" t="s">
        <v>37</v>
      </c>
      <c r="AX218" s="13" t="s">
        <v>75</v>
      </c>
      <c r="AY218" s="151" t="s">
        <v>144</v>
      </c>
    </row>
    <row r="219" spans="2:51" s="14" customFormat="1" ht="12">
      <c r="B219" s="156"/>
      <c r="D219" s="150" t="s">
        <v>154</v>
      </c>
      <c r="E219" s="157" t="s">
        <v>3</v>
      </c>
      <c r="F219" s="158" t="s">
        <v>303</v>
      </c>
      <c r="H219" s="159">
        <v>21.6</v>
      </c>
      <c r="L219" s="156"/>
      <c r="M219" s="160"/>
      <c r="N219" s="161"/>
      <c r="O219" s="161"/>
      <c r="P219" s="161"/>
      <c r="Q219" s="161"/>
      <c r="R219" s="161"/>
      <c r="S219" s="161"/>
      <c r="T219" s="162"/>
      <c r="AT219" s="157" t="s">
        <v>154</v>
      </c>
      <c r="AU219" s="157" t="s">
        <v>85</v>
      </c>
      <c r="AV219" s="14" t="s">
        <v>85</v>
      </c>
      <c r="AW219" s="14" t="s">
        <v>37</v>
      </c>
      <c r="AX219" s="14" t="s">
        <v>75</v>
      </c>
      <c r="AY219" s="157" t="s">
        <v>144</v>
      </c>
    </row>
    <row r="220" spans="2:51" s="13" customFormat="1" ht="12">
      <c r="B220" s="149"/>
      <c r="D220" s="150" t="s">
        <v>154</v>
      </c>
      <c r="E220" s="151" t="s">
        <v>3</v>
      </c>
      <c r="F220" s="152" t="s">
        <v>167</v>
      </c>
      <c r="H220" s="151" t="s">
        <v>3</v>
      </c>
      <c r="L220" s="149"/>
      <c r="M220" s="153"/>
      <c r="N220" s="154"/>
      <c r="O220" s="154"/>
      <c r="P220" s="154"/>
      <c r="Q220" s="154"/>
      <c r="R220" s="154"/>
      <c r="S220" s="154"/>
      <c r="T220" s="155"/>
      <c r="AT220" s="151" t="s">
        <v>154</v>
      </c>
      <c r="AU220" s="151" t="s">
        <v>85</v>
      </c>
      <c r="AV220" s="13" t="s">
        <v>83</v>
      </c>
      <c r="AW220" s="13" t="s">
        <v>37</v>
      </c>
      <c r="AX220" s="13" t="s">
        <v>75</v>
      </c>
      <c r="AY220" s="151" t="s">
        <v>144</v>
      </c>
    </row>
    <row r="221" spans="2:51" s="14" customFormat="1" ht="12">
      <c r="B221" s="156"/>
      <c r="D221" s="150" t="s">
        <v>154</v>
      </c>
      <c r="E221" s="157" t="s">
        <v>3</v>
      </c>
      <c r="F221" s="158" t="s">
        <v>304</v>
      </c>
      <c r="H221" s="159">
        <v>28.35</v>
      </c>
      <c r="L221" s="156"/>
      <c r="M221" s="160"/>
      <c r="N221" s="161"/>
      <c r="O221" s="161"/>
      <c r="P221" s="161"/>
      <c r="Q221" s="161"/>
      <c r="R221" s="161"/>
      <c r="S221" s="161"/>
      <c r="T221" s="162"/>
      <c r="AT221" s="157" t="s">
        <v>154</v>
      </c>
      <c r="AU221" s="157" t="s">
        <v>85</v>
      </c>
      <c r="AV221" s="14" t="s">
        <v>85</v>
      </c>
      <c r="AW221" s="14" t="s">
        <v>37</v>
      </c>
      <c r="AX221" s="14" t="s">
        <v>75</v>
      </c>
      <c r="AY221" s="157" t="s">
        <v>144</v>
      </c>
    </row>
    <row r="222" spans="2:51" s="14" customFormat="1" ht="12">
      <c r="B222" s="156"/>
      <c r="D222" s="150" t="s">
        <v>154</v>
      </c>
      <c r="E222" s="157" t="s">
        <v>3</v>
      </c>
      <c r="F222" s="158" t="s">
        <v>305</v>
      </c>
      <c r="H222" s="159">
        <v>1.8</v>
      </c>
      <c r="L222" s="156"/>
      <c r="M222" s="160"/>
      <c r="N222" s="161"/>
      <c r="O222" s="161"/>
      <c r="P222" s="161"/>
      <c r="Q222" s="161"/>
      <c r="R222" s="161"/>
      <c r="S222" s="161"/>
      <c r="T222" s="162"/>
      <c r="AT222" s="157" t="s">
        <v>154</v>
      </c>
      <c r="AU222" s="157" t="s">
        <v>85</v>
      </c>
      <c r="AV222" s="14" t="s">
        <v>85</v>
      </c>
      <c r="AW222" s="14" t="s">
        <v>37</v>
      </c>
      <c r="AX222" s="14" t="s">
        <v>75</v>
      </c>
      <c r="AY222" s="157" t="s">
        <v>144</v>
      </c>
    </row>
    <row r="223" spans="2:51" s="15" customFormat="1" ht="12">
      <c r="B223" s="166"/>
      <c r="D223" s="150" t="s">
        <v>154</v>
      </c>
      <c r="E223" s="167" t="s">
        <v>3</v>
      </c>
      <c r="F223" s="168" t="s">
        <v>161</v>
      </c>
      <c r="H223" s="169">
        <v>51.75</v>
      </c>
      <c r="L223" s="166"/>
      <c r="M223" s="170"/>
      <c r="N223" s="171"/>
      <c r="O223" s="171"/>
      <c r="P223" s="171"/>
      <c r="Q223" s="171"/>
      <c r="R223" s="171"/>
      <c r="S223" s="171"/>
      <c r="T223" s="172"/>
      <c r="AT223" s="167" t="s">
        <v>154</v>
      </c>
      <c r="AU223" s="167" t="s">
        <v>85</v>
      </c>
      <c r="AV223" s="15" t="s">
        <v>152</v>
      </c>
      <c r="AW223" s="15" t="s">
        <v>37</v>
      </c>
      <c r="AX223" s="15" t="s">
        <v>83</v>
      </c>
      <c r="AY223" s="167" t="s">
        <v>144</v>
      </c>
    </row>
    <row r="224" spans="1:65" s="2" customFormat="1" ht="37.9" customHeight="1">
      <c r="A224" s="31"/>
      <c r="B224" s="136"/>
      <c r="C224" s="137" t="s">
        <v>306</v>
      </c>
      <c r="D224" s="137" t="s">
        <v>147</v>
      </c>
      <c r="E224" s="138" t="s">
        <v>307</v>
      </c>
      <c r="F224" s="139" t="s">
        <v>308</v>
      </c>
      <c r="G224" s="140" t="s">
        <v>183</v>
      </c>
      <c r="H224" s="141">
        <f>H228</f>
        <v>3.825</v>
      </c>
      <c r="I224" s="142"/>
      <c r="J224" s="142">
        <f>ROUND(I224*H224,2)</f>
        <v>0</v>
      </c>
      <c r="K224" s="139" t="s">
        <v>157</v>
      </c>
      <c r="L224" s="32"/>
      <c r="M224" s="143" t="s">
        <v>3</v>
      </c>
      <c r="N224" s="144" t="s">
        <v>46</v>
      </c>
      <c r="O224" s="145">
        <v>0.383</v>
      </c>
      <c r="P224" s="145">
        <f>O224*H224</f>
        <v>1.4649750000000001</v>
      </c>
      <c r="Q224" s="145">
        <v>0</v>
      </c>
      <c r="R224" s="145">
        <f>Q224*H224</f>
        <v>0</v>
      </c>
      <c r="S224" s="145">
        <v>0.034</v>
      </c>
      <c r="T224" s="146">
        <f>S224*H224</f>
        <v>0.13005000000000003</v>
      </c>
      <c r="U224" s="31"/>
      <c r="V224" s="31"/>
      <c r="W224" s="31"/>
      <c r="X224" s="31"/>
      <c r="Y224" s="31"/>
      <c r="Z224" s="31"/>
      <c r="AA224" s="31"/>
      <c r="AB224" s="31"/>
      <c r="AC224" s="31"/>
      <c r="AD224" s="31"/>
      <c r="AE224" s="31"/>
      <c r="AR224" s="147" t="s">
        <v>152</v>
      </c>
      <c r="AT224" s="147" t="s">
        <v>147</v>
      </c>
      <c r="AU224" s="147" t="s">
        <v>85</v>
      </c>
      <c r="AY224" s="19" t="s">
        <v>144</v>
      </c>
      <c r="BE224" s="148">
        <f>IF(N224="základní",J224,0)</f>
        <v>0</v>
      </c>
      <c r="BF224" s="148">
        <f>IF(N224="snížená",J224,0)</f>
        <v>0</v>
      </c>
      <c r="BG224" s="148">
        <f>IF(N224="zákl. přenesená",J224,0)</f>
        <v>0</v>
      </c>
      <c r="BH224" s="148">
        <f>IF(N224="sníž. přenesená",J224,0)</f>
        <v>0</v>
      </c>
      <c r="BI224" s="148">
        <f>IF(N224="nulová",J224,0)</f>
        <v>0</v>
      </c>
      <c r="BJ224" s="19" t="s">
        <v>83</v>
      </c>
      <c r="BK224" s="148">
        <f>ROUND(I224*H224,2)</f>
        <v>0</v>
      </c>
      <c r="BL224" s="19" t="s">
        <v>152</v>
      </c>
      <c r="BM224" s="147" t="s">
        <v>309</v>
      </c>
    </row>
    <row r="225" spans="1:47" s="2" customFormat="1" ht="39">
      <c r="A225" s="31"/>
      <c r="B225" s="32"/>
      <c r="C225" s="31"/>
      <c r="D225" s="150" t="s">
        <v>158</v>
      </c>
      <c r="E225" s="31"/>
      <c r="F225" s="163" t="s">
        <v>302</v>
      </c>
      <c r="G225" s="31"/>
      <c r="H225" s="31"/>
      <c r="I225" s="31"/>
      <c r="J225" s="31"/>
      <c r="K225" s="31"/>
      <c r="L225" s="32"/>
      <c r="M225" s="164"/>
      <c r="N225" s="165"/>
      <c r="O225" s="52"/>
      <c r="P225" s="52"/>
      <c r="Q225" s="52"/>
      <c r="R225" s="52"/>
      <c r="S225" s="52"/>
      <c r="T225" s="53"/>
      <c r="U225" s="31"/>
      <c r="V225" s="31"/>
      <c r="W225" s="31"/>
      <c r="X225" s="31"/>
      <c r="Y225" s="31"/>
      <c r="Z225" s="31"/>
      <c r="AA225" s="31"/>
      <c r="AB225" s="31"/>
      <c r="AC225" s="31"/>
      <c r="AD225" s="31"/>
      <c r="AE225" s="31"/>
      <c r="AT225" s="19" t="s">
        <v>158</v>
      </c>
      <c r="AU225" s="19" t="s">
        <v>85</v>
      </c>
    </row>
    <row r="226" spans="2:51" s="13" customFormat="1" ht="22.5">
      <c r="B226" s="149"/>
      <c r="D226" s="150" t="s">
        <v>154</v>
      </c>
      <c r="E226" s="151" t="s">
        <v>3</v>
      </c>
      <c r="F226" s="152" t="s">
        <v>232</v>
      </c>
      <c r="H226" s="151" t="s">
        <v>3</v>
      </c>
      <c r="L226" s="149"/>
      <c r="M226" s="153"/>
      <c r="N226" s="154"/>
      <c r="O226" s="154"/>
      <c r="P226" s="154"/>
      <c r="Q226" s="154"/>
      <c r="R226" s="154"/>
      <c r="S226" s="154"/>
      <c r="T226" s="155"/>
      <c r="AT226" s="151" t="s">
        <v>154</v>
      </c>
      <c r="AU226" s="151" t="s">
        <v>85</v>
      </c>
      <c r="AV226" s="13" t="s">
        <v>83</v>
      </c>
      <c r="AW226" s="13" t="s">
        <v>37</v>
      </c>
      <c r="AX226" s="13" t="s">
        <v>75</v>
      </c>
      <c r="AY226" s="151" t="s">
        <v>144</v>
      </c>
    </row>
    <row r="227" spans="2:51" s="13" customFormat="1" ht="12">
      <c r="B227" s="149"/>
      <c r="D227" s="150" t="s">
        <v>154</v>
      </c>
      <c r="E227" s="151" t="s">
        <v>3</v>
      </c>
      <c r="F227" s="152" t="s">
        <v>166</v>
      </c>
      <c r="H227" s="151" t="s">
        <v>3</v>
      </c>
      <c r="L227" s="149"/>
      <c r="M227" s="153"/>
      <c r="N227" s="154"/>
      <c r="O227" s="154"/>
      <c r="P227" s="154"/>
      <c r="Q227" s="154"/>
      <c r="R227" s="154"/>
      <c r="S227" s="154"/>
      <c r="T227" s="155"/>
      <c r="AT227" s="151" t="s">
        <v>154</v>
      </c>
      <c r="AU227" s="151" t="s">
        <v>85</v>
      </c>
      <c r="AV227" s="13" t="s">
        <v>83</v>
      </c>
      <c r="AW227" s="13" t="s">
        <v>37</v>
      </c>
      <c r="AX227" s="13" t="s">
        <v>75</v>
      </c>
      <c r="AY227" s="151" t="s">
        <v>144</v>
      </c>
    </row>
    <row r="228" spans="2:51" s="14" customFormat="1" ht="12">
      <c r="B228" s="156"/>
      <c r="D228" s="150" t="s">
        <v>154</v>
      </c>
      <c r="E228" s="157" t="s">
        <v>3</v>
      </c>
      <c r="F228" s="158" t="s">
        <v>1885</v>
      </c>
      <c r="H228" s="159">
        <f>1*(1.53*2.5)</f>
        <v>3.825</v>
      </c>
      <c r="L228" s="156"/>
      <c r="M228" s="160"/>
      <c r="N228" s="161"/>
      <c r="O228" s="161"/>
      <c r="P228" s="161"/>
      <c r="Q228" s="161"/>
      <c r="R228" s="161"/>
      <c r="S228" s="161"/>
      <c r="T228" s="162"/>
      <c r="AT228" s="157" t="s">
        <v>154</v>
      </c>
      <c r="AU228" s="157" t="s">
        <v>85</v>
      </c>
      <c r="AV228" s="14" t="s">
        <v>85</v>
      </c>
      <c r="AW228" s="14" t="s">
        <v>37</v>
      </c>
      <c r="AX228" s="14" t="s">
        <v>83</v>
      </c>
      <c r="AY228" s="157" t="s">
        <v>144</v>
      </c>
    </row>
    <row r="229" spans="1:65" s="2" customFormat="1" ht="37.9" customHeight="1">
      <c r="A229" s="31"/>
      <c r="B229" s="136"/>
      <c r="C229" s="137" t="s">
        <v>310</v>
      </c>
      <c r="D229" s="137" t="s">
        <v>147</v>
      </c>
      <c r="E229" s="138" t="s">
        <v>311</v>
      </c>
      <c r="F229" s="139" t="s">
        <v>312</v>
      </c>
      <c r="G229" s="140" t="s">
        <v>183</v>
      </c>
      <c r="H229" s="141">
        <f>H236</f>
        <v>50.922</v>
      </c>
      <c r="I229" s="142"/>
      <c r="J229" s="142">
        <f>ROUND(I229*H229,2)</f>
        <v>0</v>
      </c>
      <c r="K229" s="139" t="s">
        <v>157</v>
      </c>
      <c r="L229" s="32"/>
      <c r="M229" s="143" t="s">
        <v>3</v>
      </c>
      <c r="N229" s="144" t="s">
        <v>46</v>
      </c>
      <c r="O229" s="145">
        <v>0.939</v>
      </c>
      <c r="P229" s="145">
        <f>O229*H229</f>
        <v>47.815757999999995</v>
      </c>
      <c r="Q229" s="145">
        <v>0</v>
      </c>
      <c r="R229" s="145">
        <f>Q229*H229</f>
        <v>0</v>
      </c>
      <c r="S229" s="145">
        <v>0.076</v>
      </c>
      <c r="T229" s="146">
        <f>S229*H229</f>
        <v>3.8700719999999995</v>
      </c>
      <c r="U229" s="31"/>
      <c r="V229" s="31"/>
      <c r="W229" s="31"/>
      <c r="X229" s="31"/>
      <c r="Y229" s="31"/>
      <c r="Z229" s="31"/>
      <c r="AA229" s="31"/>
      <c r="AB229" s="31"/>
      <c r="AC229" s="31"/>
      <c r="AD229" s="31"/>
      <c r="AE229" s="31"/>
      <c r="AR229" s="147" t="s">
        <v>152</v>
      </c>
      <c r="AT229" s="147" t="s">
        <v>147</v>
      </c>
      <c r="AU229" s="147" t="s">
        <v>85</v>
      </c>
      <c r="AY229" s="19" t="s">
        <v>144</v>
      </c>
      <c r="BE229" s="148">
        <f>IF(N229="základní",J229,0)</f>
        <v>0</v>
      </c>
      <c r="BF229" s="148">
        <f>IF(N229="snížená",J229,0)</f>
        <v>0</v>
      </c>
      <c r="BG229" s="148">
        <f>IF(N229="zákl. přenesená",J229,0)</f>
        <v>0</v>
      </c>
      <c r="BH229" s="148">
        <f>IF(N229="sníž. přenesená",J229,0)</f>
        <v>0</v>
      </c>
      <c r="BI229" s="148">
        <f>IF(N229="nulová",J229,0)</f>
        <v>0</v>
      </c>
      <c r="BJ229" s="19" t="s">
        <v>83</v>
      </c>
      <c r="BK229" s="148">
        <f>ROUND(I229*H229,2)</f>
        <v>0</v>
      </c>
      <c r="BL229" s="19" t="s">
        <v>152</v>
      </c>
      <c r="BM229" s="147" t="s">
        <v>313</v>
      </c>
    </row>
    <row r="230" spans="1:47" s="2" customFormat="1" ht="58.5">
      <c r="A230" s="31"/>
      <c r="B230" s="32"/>
      <c r="C230" s="31"/>
      <c r="D230" s="150" t="s">
        <v>158</v>
      </c>
      <c r="E230" s="31"/>
      <c r="F230" s="163" t="s">
        <v>314</v>
      </c>
      <c r="G230" s="31"/>
      <c r="H230" s="31"/>
      <c r="I230" s="31"/>
      <c r="J230" s="31"/>
      <c r="K230" s="31"/>
      <c r="L230" s="32"/>
      <c r="M230" s="164"/>
      <c r="N230" s="165"/>
      <c r="O230" s="52"/>
      <c r="P230" s="52"/>
      <c r="Q230" s="52"/>
      <c r="R230" s="52"/>
      <c r="S230" s="52"/>
      <c r="T230" s="53"/>
      <c r="U230" s="31"/>
      <c r="V230" s="31"/>
      <c r="W230" s="31"/>
      <c r="X230" s="31"/>
      <c r="Y230" s="31"/>
      <c r="Z230" s="31"/>
      <c r="AA230" s="31"/>
      <c r="AB230" s="31"/>
      <c r="AC230" s="31"/>
      <c r="AD230" s="31"/>
      <c r="AE230" s="31"/>
      <c r="AT230" s="19" t="s">
        <v>158</v>
      </c>
      <c r="AU230" s="19" t="s">
        <v>85</v>
      </c>
    </row>
    <row r="231" spans="2:51" s="13" customFormat="1" ht="22.5">
      <c r="B231" s="149"/>
      <c r="D231" s="150" t="s">
        <v>154</v>
      </c>
      <c r="E231" s="151" t="s">
        <v>3</v>
      </c>
      <c r="F231" s="152" t="s">
        <v>232</v>
      </c>
      <c r="H231" s="151" t="s">
        <v>3</v>
      </c>
      <c r="L231" s="149"/>
      <c r="M231" s="153"/>
      <c r="N231" s="154"/>
      <c r="O231" s="154"/>
      <c r="P231" s="154"/>
      <c r="Q231" s="154"/>
      <c r="R231" s="154"/>
      <c r="S231" s="154"/>
      <c r="T231" s="155"/>
      <c r="AT231" s="151" t="s">
        <v>154</v>
      </c>
      <c r="AU231" s="151" t="s">
        <v>85</v>
      </c>
      <c r="AV231" s="13" t="s">
        <v>83</v>
      </c>
      <c r="AW231" s="13" t="s">
        <v>37</v>
      </c>
      <c r="AX231" s="13" t="s">
        <v>75</v>
      </c>
      <c r="AY231" s="151" t="s">
        <v>144</v>
      </c>
    </row>
    <row r="232" spans="2:51" s="13" customFormat="1" ht="12">
      <c r="B232" s="149"/>
      <c r="D232" s="150" t="s">
        <v>154</v>
      </c>
      <c r="E232" s="151" t="s">
        <v>3</v>
      </c>
      <c r="F232" s="152" t="s">
        <v>166</v>
      </c>
      <c r="H232" s="151" t="s">
        <v>3</v>
      </c>
      <c r="L232" s="149"/>
      <c r="M232" s="153"/>
      <c r="N232" s="154"/>
      <c r="O232" s="154"/>
      <c r="P232" s="154"/>
      <c r="Q232" s="154"/>
      <c r="R232" s="154"/>
      <c r="S232" s="154"/>
      <c r="T232" s="155"/>
      <c r="AT232" s="151" t="s">
        <v>154</v>
      </c>
      <c r="AU232" s="151" t="s">
        <v>85</v>
      </c>
      <c r="AV232" s="13" t="s">
        <v>83</v>
      </c>
      <c r="AW232" s="13" t="s">
        <v>37</v>
      </c>
      <c r="AX232" s="13" t="s">
        <v>75</v>
      </c>
      <c r="AY232" s="151" t="s">
        <v>144</v>
      </c>
    </row>
    <row r="233" spans="2:51" s="14" customFormat="1" ht="12">
      <c r="B233" s="156"/>
      <c r="D233" s="150" t="s">
        <v>154</v>
      </c>
      <c r="E233" s="157" t="s">
        <v>3</v>
      </c>
      <c r="F233" s="158" t="s">
        <v>1886</v>
      </c>
      <c r="H233" s="159">
        <f>(5*0.7+7*0.9+8*1)*2.05</f>
        <v>36.489999999999995</v>
      </c>
      <c r="L233" s="156"/>
      <c r="M233" s="160"/>
      <c r="N233" s="161"/>
      <c r="O233" s="161"/>
      <c r="P233" s="161"/>
      <c r="Q233" s="161"/>
      <c r="R233" s="161"/>
      <c r="S233" s="161"/>
      <c r="T233" s="162"/>
      <c r="AT233" s="157" t="s">
        <v>154</v>
      </c>
      <c r="AU233" s="157" t="s">
        <v>85</v>
      </c>
      <c r="AV233" s="14" t="s">
        <v>85</v>
      </c>
      <c r="AW233" s="14" t="s">
        <v>37</v>
      </c>
      <c r="AX233" s="14" t="s">
        <v>75</v>
      </c>
      <c r="AY233" s="157" t="s">
        <v>144</v>
      </c>
    </row>
    <row r="234" spans="2:51" s="13" customFormat="1" ht="12">
      <c r="B234" s="149"/>
      <c r="D234" s="150" t="s">
        <v>154</v>
      </c>
      <c r="E234" s="151" t="s">
        <v>3</v>
      </c>
      <c r="F234" s="152" t="s">
        <v>167</v>
      </c>
      <c r="H234" s="151" t="s">
        <v>3</v>
      </c>
      <c r="L234" s="149"/>
      <c r="M234" s="153"/>
      <c r="N234" s="154"/>
      <c r="O234" s="154"/>
      <c r="P234" s="154"/>
      <c r="Q234" s="154"/>
      <c r="R234" s="154"/>
      <c r="S234" s="154"/>
      <c r="T234" s="155"/>
      <c r="AT234" s="151" t="s">
        <v>154</v>
      </c>
      <c r="AU234" s="151" t="s">
        <v>85</v>
      </c>
      <c r="AV234" s="13" t="s">
        <v>83</v>
      </c>
      <c r="AW234" s="13" t="s">
        <v>37</v>
      </c>
      <c r="AX234" s="13" t="s">
        <v>75</v>
      </c>
      <c r="AY234" s="151" t="s">
        <v>144</v>
      </c>
    </row>
    <row r="235" spans="2:51" s="14" customFormat="1" ht="12">
      <c r="B235" s="156"/>
      <c r="D235" s="150" t="s">
        <v>154</v>
      </c>
      <c r="E235" s="157" t="s">
        <v>3</v>
      </c>
      <c r="F235" s="158" t="s">
        <v>1887</v>
      </c>
      <c r="H235" s="159">
        <f>8*(0.88*2.05)</f>
        <v>14.431999999999999</v>
      </c>
      <c r="L235" s="156"/>
      <c r="M235" s="160"/>
      <c r="N235" s="161"/>
      <c r="O235" s="161"/>
      <c r="P235" s="161"/>
      <c r="Q235" s="161"/>
      <c r="R235" s="161"/>
      <c r="S235" s="161"/>
      <c r="T235" s="162"/>
      <c r="AT235" s="157" t="s">
        <v>154</v>
      </c>
      <c r="AU235" s="157" t="s">
        <v>85</v>
      </c>
      <c r="AV235" s="14" t="s">
        <v>85</v>
      </c>
      <c r="AW235" s="14" t="s">
        <v>37</v>
      </c>
      <c r="AX235" s="14" t="s">
        <v>75</v>
      </c>
      <c r="AY235" s="157" t="s">
        <v>144</v>
      </c>
    </row>
    <row r="236" spans="2:51" s="15" customFormat="1" ht="12">
      <c r="B236" s="166"/>
      <c r="D236" s="150" t="s">
        <v>154</v>
      </c>
      <c r="E236" s="167" t="s">
        <v>3</v>
      </c>
      <c r="F236" s="168" t="s">
        <v>161</v>
      </c>
      <c r="H236" s="169">
        <f>H233+H235</f>
        <v>50.922</v>
      </c>
      <c r="L236" s="166"/>
      <c r="M236" s="170"/>
      <c r="N236" s="171"/>
      <c r="O236" s="171"/>
      <c r="P236" s="171"/>
      <c r="Q236" s="171"/>
      <c r="R236" s="171"/>
      <c r="S236" s="171"/>
      <c r="T236" s="172"/>
      <c r="AT236" s="167" t="s">
        <v>154</v>
      </c>
      <c r="AU236" s="167" t="s">
        <v>85</v>
      </c>
      <c r="AV236" s="15" t="s">
        <v>152</v>
      </c>
      <c r="AW236" s="15" t="s">
        <v>37</v>
      </c>
      <c r="AX236" s="15" t="s">
        <v>83</v>
      </c>
      <c r="AY236" s="167" t="s">
        <v>144</v>
      </c>
    </row>
    <row r="237" spans="1:65" s="2" customFormat="1" ht="49.15" customHeight="1">
      <c r="A237" s="31"/>
      <c r="B237" s="136"/>
      <c r="C237" s="137" t="s">
        <v>315</v>
      </c>
      <c r="D237" s="137" t="s">
        <v>147</v>
      </c>
      <c r="E237" s="138" t="s">
        <v>316</v>
      </c>
      <c r="F237" s="139" t="s">
        <v>317</v>
      </c>
      <c r="G237" s="140" t="s">
        <v>183</v>
      </c>
      <c r="H237" s="141">
        <f>H243</f>
        <v>15.0675</v>
      </c>
      <c r="I237" s="142"/>
      <c r="J237" s="142">
        <f>ROUND(I237*H237,2)</f>
        <v>0</v>
      </c>
      <c r="K237" s="139" t="s">
        <v>157</v>
      </c>
      <c r="L237" s="32"/>
      <c r="M237" s="143" t="s">
        <v>3</v>
      </c>
      <c r="N237" s="144" t="s">
        <v>46</v>
      </c>
      <c r="O237" s="145">
        <v>0.33</v>
      </c>
      <c r="P237" s="145">
        <f>O237*H237</f>
        <v>4.972275000000001</v>
      </c>
      <c r="Q237" s="145">
        <v>0</v>
      </c>
      <c r="R237" s="145">
        <f>Q237*H237</f>
        <v>0</v>
      </c>
      <c r="S237" s="145">
        <v>0.18</v>
      </c>
      <c r="T237" s="146">
        <f>S237*H237</f>
        <v>2.71215</v>
      </c>
      <c r="U237" s="31"/>
      <c r="V237" s="31"/>
      <c r="W237" s="31"/>
      <c r="X237" s="31"/>
      <c r="Y237" s="31"/>
      <c r="Z237" s="31"/>
      <c r="AA237" s="31"/>
      <c r="AB237" s="31"/>
      <c r="AC237" s="31"/>
      <c r="AD237" s="31"/>
      <c r="AE237" s="31"/>
      <c r="AR237" s="147" t="s">
        <v>152</v>
      </c>
      <c r="AT237" s="147" t="s">
        <v>147</v>
      </c>
      <c r="AU237" s="147" t="s">
        <v>85</v>
      </c>
      <c r="AY237" s="19" t="s">
        <v>144</v>
      </c>
      <c r="BE237" s="148">
        <f>IF(N237="základní",J237,0)</f>
        <v>0</v>
      </c>
      <c r="BF237" s="148">
        <f>IF(N237="snížená",J237,0)</f>
        <v>0</v>
      </c>
      <c r="BG237" s="148">
        <f>IF(N237="zákl. přenesená",J237,0)</f>
        <v>0</v>
      </c>
      <c r="BH237" s="148">
        <f>IF(N237="sníž. přenesená",J237,0)</f>
        <v>0</v>
      </c>
      <c r="BI237" s="148">
        <f>IF(N237="nulová",J237,0)</f>
        <v>0</v>
      </c>
      <c r="BJ237" s="19" t="s">
        <v>83</v>
      </c>
      <c r="BK237" s="148">
        <f>ROUND(I237*H237,2)</f>
        <v>0</v>
      </c>
      <c r="BL237" s="19" t="s">
        <v>152</v>
      </c>
      <c r="BM237" s="147" t="s">
        <v>318</v>
      </c>
    </row>
    <row r="238" spans="2:51" s="13" customFormat="1" ht="22.5">
      <c r="B238" s="149"/>
      <c r="D238" s="150" t="s">
        <v>154</v>
      </c>
      <c r="E238" s="151" t="s">
        <v>3</v>
      </c>
      <c r="F238" s="152" t="s">
        <v>232</v>
      </c>
      <c r="H238" s="151" t="s">
        <v>3</v>
      </c>
      <c r="L238" s="149"/>
      <c r="M238" s="153"/>
      <c r="N238" s="154"/>
      <c r="O238" s="154"/>
      <c r="P238" s="154"/>
      <c r="Q238" s="154"/>
      <c r="R238" s="154"/>
      <c r="S238" s="154"/>
      <c r="T238" s="155"/>
      <c r="AT238" s="151" t="s">
        <v>154</v>
      </c>
      <c r="AU238" s="151" t="s">
        <v>85</v>
      </c>
      <c r="AV238" s="13" t="s">
        <v>83</v>
      </c>
      <c r="AW238" s="13" t="s">
        <v>37</v>
      </c>
      <c r="AX238" s="13" t="s">
        <v>75</v>
      </c>
      <c r="AY238" s="151" t="s">
        <v>144</v>
      </c>
    </row>
    <row r="239" spans="2:51" s="13" customFormat="1" ht="12">
      <c r="B239" s="149"/>
      <c r="D239" s="150" t="s">
        <v>154</v>
      </c>
      <c r="E239" s="151" t="s">
        <v>3</v>
      </c>
      <c r="F239" s="152" t="s">
        <v>166</v>
      </c>
      <c r="H239" s="151" t="s">
        <v>3</v>
      </c>
      <c r="L239" s="149"/>
      <c r="M239" s="153"/>
      <c r="N239" s="154"/>
      <c r="O239" s="154"/>
      <c r="P239" s="154"/>
      <c r="Q239" s="154"/>
      <c r="R239" s="154"/>
      <c r="S239" s="154"/>
      <c r="T239" s="155"/>
      <c r="AT239" s="151" t="s">
        <v>154</v>
      </c>
      <c r="AU239" s="151" t="s">
        <v>85</v>
      </c>
      <c r="AV239" s="13" t="s">
        <v>83</v>
      </c>
      <c r="AW239" s="13" t="s">
        <v>37</v>
      </c>
      <c r="AX239" s="13" t="s">
        <v>75</v>
      </c>
      <c r="AY239" s="151" t="s">
        <v>144</v>
      </c>
    </row>
    <row r="240" spans="2:51" s="14" customFormat="1" ht="12">
      <c r="B240" s="156"/>
      <c r="D240" s="150" t="s">
        <v>154</v>
      </c>
      <c r="E240" s="157" t="s">
        <v>3</v>
      </c>
      <c r="F240" s="158" t="s">
        <v>1888</v>
      </c>
      <c r="H240" s="159">
        <f>0.78*2.1</f>
        <v>1.6380000000000001</v>
      </c>
      <c r="L240" s="156"/>
      <c r="M240" s="160"/>
      <c r="N240" s="161"/>
      <c r="O240" s="161"/>
      <c r="P240" s="161"/>
      <c r="Q240" s="161"/>
      <c r="R240" s="161"/>
      <c r="S240" s="161"/>
      <c r="T240" s="162"/>
      <c r="AT240" s="157" t="s">
        <v>154</v>
      </c>
      <c r="AU240" s="157" t="s">
        <v>85</v>
      </c>
      <c r="AV240" s="14" t="s">
        <v>85</v>
      </c>
      <c r="AW240" s="14" t="s">
        <v>37</v>
      </c>
      <c r="AX240" s="14" t="s">
        <v>75</v>
      </c>
      <c r="AY240" s="157" t="s">
        <v>144</v>
      </c>
    </row>
    <row r="241" spans="2:51" s="13" customFormat="1" ht="12">
      <c r="B241" s="149"/>
      <c r="D241" s="150" t="s">
        <v>154</v>
      </c>
      <c r="E241" s="151" t="s">
        <v>3</v>
      </c>
      <c r="F241" s="152" t="s">
        <v>167</v>
      </c>
      <c r="H241" s="151" t="s">
        <v>3</v>
      </c>
      <c r="L241" s="149"/>
      <c r="M241" s="153"/>
      <c r="N241" s="154"/>
      <c r="O241" s="154"/>
      <c r="P241" s="154"/>
      <c r="Q241" s="154"/>
      <c r="R241" s="154"/>
      <c r="S241" s="154"/>
      <c r="T241" s="155"/>
      <c r="AT241" s="151" t="s">
        <v>154</v>
      </c>
      <c r="AU241" s="151" t="s">
        <v>85</v>
      </c>
      <c r="AV241" s="13" t="s">
        <v>83</v>
      </c>
      <c r="AW241" s="13" t="s">
        <v>37</v>
      </c>
      <c r="AX241" s="13" t="s">
        <v>75</v>
      </c>
      <c r="AY241" s="151" t="s">
        <v>144</v>
      </c>
    </row>
    <row r="242" spans="2:51" s="14" customFormat="1" ht="12">
      <c r="B242" s="156"/>
      <c r="D242" s="150" t="s">
        <v>154</v>
      </c>
      <c r="E242" s="157" t="s">
        <v>3</v>
      </c>
      <c r="F242" s="158" t="s">
        <v>1889</v>
      </c>
      <c r="H242" s="159">
        <f>6*0.88*2.1+0.335*2.1+0.78*2.1</f>
        <v>13.4295</v>
      </c>
      <c r="L242" s="156"/>
      <c r="M242" s="160"/>
      <c r="N242" s="161"/>
      <c r="O242" s="161"/>
      <c r="P242" s="161"/>
      <c r="Q242" s="161"/>
      <c r="R242" s="161"/>
      <c r="S242" s="161"/>
      <c r="T242" s="162"/>
      <c r="AT242" s="157" t="s">
        <v>154</v>
      </c>
      <c r="AU242" s="157" t="s">
        <v>85</v>
      </c>
      <c r="AV242" s="14" t="s">
        <v>85</v>
      </c>
      <c r="AW242" s="14" t="s">
        <v>37</v>
      </c>
      <c r="AX242" s="14" t="s">
        <v>75</v>
      </c>
      <c r="AY242" s="157" t="s">
        <v>144</v>
      </c>
    </row>
    <row r="243" spans="2:51" s="15" customFormat="1" ht="12">
      <c r="B243" s="166"/>
      <c r="D243" s="150" t="s">
        <v>154</v>
      </c>
      <c r="E243" s="167" t="s">
        <v>3</v>
      </c>
      <c r="F243" s="168" t="s">
        <v>161</v>
      </c>
      <c r="H243" s="169">
        <f>H240+H242</f>
        <v>15.0675</v>
      </c>
      <c r="L243" s="166"/>
      <c r="M243" s="170"/>
      <c r="N243" s="171"/>
      <c r="O243" s="171"/>
      <c r="P243" s="171"/>
      <c r="Q243" s="171"/>
      <c r="R243" s="171"/>
      <c r="S243" s="171"/>
      <c r="T243" s="172"/>
      <c r="AT243" s="167" t="s">
        <v>154</v>
      </c>
      <c r="AU243" s="167" t="s">
        <v>85</v>
      </c>
      <c r="AV243" s="15" t="s">
        <v>152</v>
      </c>
      <c r="AW243" s="15" t="s">
        <v>37</v>
      </c>
      <c r="AX243" s="15" t="s">
        <v>83</v>
      </c>
      <c r="AY243" s="167" t="s">
        <v>144</v>
      </c>
    </row>
    <row r="244" spans="1:65" s="2" customFormat="1" ht="37.9" customHeight="1">
      <c r="A244" s="31"/>
      <c r="B244" s="136"/>
      <c r="C244" s="137" t="s">
        <v>319</v>
      </c>
      <c r="D244" s="137" t="s">
        <v>147</v>
      </c>
      <c r="E244" s="138" t="s">
        <v>320</v>
      </c>
      <c r="F244" s="139" t="s">
        <v>321</v>
      </c>
      <c r="G244" s="140" t="s">
        <v>183</v>
      </c>
      <c r="H244" s="141">
        <v>78.102</v>
      </c>
      <c r="I244" s="142"/>
      <c r="J244" s="142">
        <f>ROUND(I244*H244,2)</f>
        <v>0</v>
      </c>
      <c r="K244" s="139" t="s">
        <v>157</v>
      </c>
      <c r="L244" s="32"/>
      <c r="M244" s="143" t="s">
        <v>3</v>
      </c>
      <c r="N244" s="144" t="s">
        <v>46</v>
      </c>
      <c r="O244" s="145">
        <v>0.3</v>
      </c>
      <c r="P244" s="145">
        <f>O244*H244</f>
        <v>23.430600000000002</v>
      </c>
      <c r="Q244" s="145">
        <v>0</v>
      </c>
      <c r="R244" s="145">
        <f>Q244*H244</f>
        <v>0</v>
      </c>
      <c r="S244" s="145">
        <v>0.068</v>
      </c>
      <c r="T244" s="146">
        <f>S244*H244</f>
        <v>5.310936000000001</v>
      </c>
      <c r="U244" s="31"/>
      <c r="V244" s="31"/>
      <c r="W244" s="31"/>
      <c r="X244" s="31"/>
      <c r="Y244" s="31"/>
      <c r="Z244" s="31"/>
      <c r="AA244" s="31"/>
      <c r="AB244" s="31"/>
      <c r="AC244" s="31"/>
      <c r="AD244" s="31"/>
      <c r="AE244" s="31"/>
      <c r="AR244" s="147" t="s">
        <v>152</v>
      </c>
      <c r="AT244" s="147" t="s">
        <v>147</v>
      </c>
      <c r="AU244" s="147" t="s">
        <v>85</v>
      </c>
      <c r="AY244" s="19" t="s">
        <v>144</v>
      </c>
      <c r="BE244" s="148">
        <f>IF(N244="základní",J244,0)</f>
        <v>0</v>
      </c>
      <c r="BF244" s="148">
        <f>IF(N244="snížená",J244,0)</f>
        <v>0</v>
      </c>
      <c r="BG244" s="148">
        <f>IF(N244="zákl. přenesená",J244,0)</f>
        <v>0</v>
      </c>
      <c r="BH244" s="148">
        <f>IF(N244="sníž. přenesená",J244,0)</f>
        <v>0</v>
      </c>
      <c r="BI244" s="148">
        <f>IF(N244="nulová",J244,0)</f>
        <v>0</v>
      </c>
      <c r="BJ244" s="19" t="s">
        <v>83</v>
      </c>
      <c r="BK244" s="148">
        <f>ROUND(I244*H244,2)</f>
        <v>0</v>
      </c>
      <c r="BL244" s="19" t="s">
        <v>152</v>
      </c>
      <c r="BM244" s="147" t="s">
        <v>322</v>
      </c>
    </row>
    <row r="245" spans="1:47" s="2" customFormat="1" ht="29.25">
      <c r="A245" s="31"/>
      <c r="B245" s="32"/>
      <c r="C245" s="31"/>
      <c r="D245" s="150" t="s">
        <v>158</v>
      </c>
      <c r="E245" s="31"/>
      <c r="F245" s="163" t="s">
        <v>295</v>
      </c>
      <c r="G245" s="31"/>
      <c r="H245" s="31"/>
      <c r="I245" s="31"/>
      <c r="J245" s="31"/>
      <c r="K245" s="31"/>
      <c r="L245" s="32"/>
      <c r="M245" s="164"/>
      <c r="N245" s="165"/>
      <c r="O245" s="52"/>
      <c r="P245" s="52"/>
      <c r="Q245" s="52"/>
      <c r="R245" s="52"/>
      <c r="S245" s="52"/>
      <c r="T245" s="53"/>
      <c r="U245" s="31"/>
      <c r="V245" s="31"/>
      <c r="W245" s="31"/>
      <c r="X245" s="31"/>
      <c r="Y245" s="31"/>
      <c r="Z245" s="31"/>
      <c r="AA245" s="31"/>
      <c r="AB245" s="31"/>
      <c r="AC245" s="31"/>
      <c r="AD245" s="31"/>
      <c r="AE245" s="31"/>
      <c r="AT245" s="19" t="s">
        <v>158</v>
      </c>
      <c r="AU245" s="19" t="s">
        <v>85</v>
      </c>
    </row>
    <row r="246" spans="2:51" s="13" customFormat="1" ht="22.5">
      <c r="B246" s="149"/>
      <c r="D246" s="150" t="s">
        <v>154</v>
      </c>
      <c r="E246" s="151" t="s">
        <v>3</v>
      </c>
      <c r="F246" s="152" t="s">
        <v>232</v>
      </c>
      <c r="H246" s="151" t="s">
        <v>3</v>
      </c>
      <c r="L246" s="149"/>
      <c r="M246" s="153"/>
      <c r="N246" s="154"/>
      <c r="O246" s="154"/>
      <c r="P246" s="154"/>
      <c r="Q246" s="154"/>
      <c r="R246" s="154"/>
      <c r="S246" s="154"/>
      <c r="T246" s="155"/>
      <c r="AT246" s="151" t="s">
        <v>154</v>
      </c>
      <c r="AU246" s="151" t="s">
        <v>85</v>
      </c>
      <c r="AV246" s="13" t="s">
        <v>83</v>
      </c>
      <c r="AW246" s="13" t="s">
        <v>37</v>
      </c>
      <c r="AX246" s="13" t="s">
        <v>75</v>
      </c>
      <c r="AY246" s="151" t="s">
        <v>144</v>
      </c>
    </row>
    <row r="247" spans="2:51" s="13" customFormat="1" ht="12">
      <c r="B247" s="149"/>
      <c r="D247" s="150" t="s">
        <v>154</v>
      </c>
      <c r="E247" s="151" t="s">
        <v>3</v>
      </c>
      <c r="F247" s="152" t="s">
        <v>166</v>
      </c>
      <c r="H247" s="151" t="s">
        <v>3</v>
      </c>
      <c r="L247" s="149"/>
      <c r="M247" s="153"/>
      <c r="N247" s="154"/>
      <c r="O247" s="154"/>
      <c r="P247" s="154"/>
      <c r="Q247" s="154"/>
      <c r="R247" s="154"/>
      <c r="S247" s="154"/>
      <c r="T247" s="155"/>
      <c r="AT247" s="151" t="s">
        <v>154</v>
      </c>
      <c r="AU247" s="151" t="s">
        <v>85</v>
      </c>
      <c r="AV247" s="13" t="s">
        <v>83</v>
      </c>
      <c r="AW247" s="13" t="s">
        <v>37</v>
      </c>
      <c r="AX247" s="13" t="s">
        <v>75</v>
      </c>
      <c r="AY247" s="151" t="s">
        <v>144</v>
      </c>
    </row>
    <row r="248" spans="2:51" s="14" customFormat="1" ht="12">
      <c r="B248" s="156"/>
      <c r="D248" s="150" t="s">
        <v>154</v>
      </c>
      <c r="E248" s="157" t="s">
        <v>3</v>
      </c>
      <c r="F248" s="158" t="s">
        <v>323</v>
      </c>
      <c r="H248" s="159">
        <v>2.145</v>
      </c>
      <c r="L248" s="156"/>
      <c r="M248" s="160"/>
      <c r="N248" s="161"/>
      <c r="O248" s="161"/>
      <c r="P248" s="161"/>
      <c r="Q248" s="161"/>
      <c r="R248" s="161"/>
      <c r="S248" s="161"/>
      <c r="T248" s="162"/>
      <c r="AT248" s="157" t="s">
        <v>154</v>
      </c>
      <c r="AU248" s="157" t="s">
        <v>85</v>
      </c>
      <c r="AV248" s="14" t="s">
        <v>85</v>
      </c>
      <c r="AW248" s="14" t="s">
        <v>37</v>
      </c>
      <c r="AX248" s="14" t="s">
        <v>75</v>
      </c>
      <c r="AY248" s="157" t="s">
        <v>144</v>
      </c>
    </row>
    <row r="249" spans="2:51" s="14" customFormat="1" ht="12">
      <c r="B249" s="156"/>
      <c r="D249" s="150" t="s">
        <v>154</v>
      </c>
      <c r="E249" s="157" t="s">
        <v>3</v>
      </c>
      <c r="F249" s="158" t="s">
        <v>324</v>
      </c>
      <c r="H249" s="159">
        <v>5.37</v>
      </c>
      <c r="L249" s="156"/>
      <c r="M249" s="160"/>
      <c r="N249" s="161"/>
      <c r="O249" s="161"/>
      <c r="P249" s="161"/>
      <c r="Q249" s="161"/>
      <c r="R249" s="161"/>
      <c r="S249" s="161"/>
      <c r="T249" s="162"/>
      <c r="AT249" s="157" t="s">
        <v>154</v>
      </c>
      <c r="AU249" s="157" t="s">
        <v>85</v>
      </c>
      <c r="AV249" s="14" t="s">
        <v>85</v>
      </c>
      <c r="AW249" s="14" t="s">
        <v>37</v>
      </c>
      <c r="AX249" s="14" t="s">
        <v>75</v>
      </c>
      <c r="AY249" s="157" t="s">
        <v>144</v>
      </c>
    </row>
    <row r="250" spans="2:51" s="14" customFormat="1" ht="12">
      <c r="B250" s="156"/>
      <c r="D250" s="150" t="s">
        <v>154</v>
      </c>
      <c r="E250" s="157" t="s">
        <v>3</v>
      </c>
      <c r="F250" s="158" t="s">
        <v>324</v>
      </c>
      <c r="H250" s="159">
        <v>5.37</v>
      </c>
      <c r="L250" s="156"/>
      <c r="M250" s="160"/>
      <c r="N250" s="161"/>
      <c r="O250" s="161"/>
      <c r="P250" s="161"/>
      <c r="Q250" s="161"/>
      <c r="R250" s="161"/>
      <c r="S250" s="161"/>
      <c r="T250" s="162"/>
      <c r="AT250" s="157" t="s">
        <v>154</v>
      </c>
      <c r="AU250" s="157" t="s">
        <v>85</v>
      </c>
      <c r="AV250" s="14" t="s">
        <v>85</v>
      </c>
      <c r="AW250" s="14" t="s">
        <v>37</v>
      </c>
      <c r="AX250" s="14" t="s">
        <v>75</v>
      </c>
      <c r="AY250" s="157" t="s">
        <v>144</v>
      </c>
    </row>
    <row r="251" spans="2:51" s="14" customFormat="1" ht="12">
      <c r="B251" s="156"/>
      <c r="D251" s="150" t="s">
        <v>154</v>
      </c>
      <c r="E251" s="157" t="s">
        <v>3</v>
      </c>
      <c r="F251" s="158" t="s">
        <v>325</v>
      </c>
      <c r="H251" s="159">
        <v>6.696</v>
      </c>
      <c r="L251" s="156"/>
      <c r="M251" s="160"/>
      <c r="N251" s="161"/>
      <c r="O251" s="161"/>
      <c r="P251" s="161"/>
      <c r="Q251" s="161"/>
      <c r="R251" s="161"/>
      <c r="S251" s="161"/>
      <c r="T251" s="162"/>
      <c r="AT251" s="157" t="s">
        <v>154</v>
      </c>
      <c r="AU251" s="157" t="s">
        <v>85</v>
      </c>
      <c r="AV251" s="14" t="s">
        <v>85</v>
      </c>
      <c r="AW251" s="14" t="s">
        <v>37</v>
      </c>
      <c r="AX251" s="14" t="s">
        <v>75</v>
      </c>
      <c r="AY251" s="157" t="s">
        <v>144</v>
      </c>
    </row>
    <row r="252" spans="2:51" s="14" customFormat="1" ht="12">
      <c r="B252" s="156"/>
      <c r="D252" s="150" t="s">
        <v>154</v>
      </c>
      <c r="E252" s="157" t="s">
        <v>3</v>
      </c>
      <c r="F252" s="158" t="s">
        <v>326</v>
      </c>
      <c r="H252" s="159">
        <v>5.88</v>
      </c>
      <c r="L252" s="156"/>
      <c r="M252" s="160"/>
      <c r="N252" s="161"/>
      <c r="O252" s="161"/>
      <c r="P252" s="161"/>
      <c r="Q252" s="161"/>
      <c r="R252" s="161"/>
      <c r="S252" s="161"/>
      <c r="T252" s="162"/>
      <c r="AT252" s="157" t="s">
        <v>154</v>
      </c>
      <c r="AU252" s="157" t="s">
        <v>85</v>
      </c>
      <c r="AV252" s="14" t="s">
        <v>85</v>
      </c>
      <c r="AW252" s="14" t="s">
        <v>37</v>
      </c>
      <c r="AX252" s="14" t="s">
        <v>75</v>
      </c>
      <c r="AY252" s="157" t="s">
        <v>144</v>
      </c>
    </row>
    <row r="253" spans="2:51" s="14" customFormat="1" ht="12">
      <c r="B253" s="156"/>
      <c r="D253" s="150" t="s">
        <v>154</v>
      </c>
      <c r="E253" s="157" t="s">
        <v>3</v>
      </c>
      <c r="F253" s="158" t="s">
        <v>327</v>
      </c>
      <c r="H253" s="159">
        <v>6.21</v>
      </c>
      <c r="L253" s="156"/>
      <c r="M253" s="160"/>
      <c r="N253" s="161"/>
      <c r="O253" s="161"/>
      <c r="P253" s="161"/>
      <c r="Q253" s="161"/>
      <c r="R253" s="161"/>
      <c r="S253" s="161"/>
      <c r="T253" s="162"/>
      <c r="AT253" s="157" t="s">
        <v>154</v>
      </c>
      <c r="AU253" s="157" t="s">
        <v>85</v>
      </c>
      <c r="AV253" s="14" t="s">
        <v>85</v>
      </c>
      <c r="AW253" s="14" t="s">
        <v>37</v>
      </c>
      <c r="AX253" s="14" t="s">
        <v>75</v>
      </c>
      <c r="AY253" s="157" t="s">
        <v>144</v>
      </c>
    </row>
    <row r="254" spans="2:51" s="14" customFormat="1" ht="12">
      <c r="B254" s="156"/>
      <c r="D254" s="150" t="s">
        <v>154</v>
      </c>
      <c r="E254" s="157" t="s">
        <v>3</v>
      </c>
      <c r="F254" s="158" t="s">
        <v>328</v>
      </c>
      <c r="H254" s="159">
        <v>4.11</v>
      </c>
      <c r="L254" s="156"/>
      <c r="M254" s="160"/>
      <c r="N254" s="161"/>
      <c r="O254" s="161"/>
      <c r="P254" s="161"/>
      <c r="Q254" s="161"/>
      <c r="R254" s="161"/>
      <c r="S254" s="161"/>
      <c r="T254" s="162"/>
      <c r="AT254" s="157" t="s">
        <v>154</v>
      </c>
      <c r="AU254" s="157" t="s">
        <v>85</v>
      </c>
      <c r="AV254" s="14" t="s">
        <v>85</v>
      </c>
      <c r="AW254" s="14" t="s">
        <v>37</v>
      </c>
      <c r="AX254" s="14" t="s">
        <v>75</v>
      </c>
      <c r="AY254" s="157" t="s">
        <v>144</v>
      </c>
    </row>
    <row r="255" spans="2:51" s="14" customFormat="1" ht="12">
      <c r="B255" s="156"/>
      <c r="D255" s="150" t="s">
        <v>154</v>
      </c>
      <c r="E255" s="157" t="s">
        <v>3</v>
      </c>
      <c r="F255" s="158" t="s">
        <v>329</v>
      </c>
      <c r="H255" s="159">
        <v>6.3</v>
      </c>
      <c r="L255" s="156"/>
      <c r="M255" s="160"/>
      <c r="N255" s="161"/>
      <c r="O255" s="161"/>
      <c r="P255" s="161"/>
      <c r="Q255" s="161"/>
      <c r="R255" s="161"/>
      <c r="S255" s="161"/>
      <c r="T255" s="162"/>
      <c r="AT255" s="157" t="s">
        <v>154</v>
      </c>
      <c r="AU255" s="157" t="s">
        <v>85</v>
      </c>
      <c r="AV255" s="14" t="s">
        <v>85</v>
      </c>
      <c r="AW255" s="14" t="s">
        <v>37</v>
      </c>
      <c r="AX255" s="14" t="s">
        <v>75</v>
      </c>
      <c r="AY255" s="157" t="s">
        <v>144</v>
      </c>
    </row>
    <row r="256" spans="2:51" s="14" customFormat="1" ht="22.5">
      <c r="B256" s="156"/>
      <c r="D256" s="150" t="s">
        <v>154</v>
      </c>
      <c r="E256" s="157" t="s">
        <v>3</v>
      </c>
      <c r="F256" s="158" t="s">
        <v>330</v>
      </c>
      <c r="H256" s="159">
        <v>13.062</v>
      </c>
      <c r="L256" s="156"/>
      <c r="M256" s="160"/>
      <c r="N256" s="161"/>
      <c r="O256" s="161"/>
      <c r="P256" s="161"/>
      <c r="Q256" s="161"/>
      <c r="R256" s="161"/>
      <c r="S256" s="161"/>
      <c r="T256" s="162"/>
      <c r="AT256" s="157" t="s">
        <v>154</v>
      </c>
      <c r="AU256" s="157" t="s">
        <v>85</v>
      </c>
      <c r="AV256" s="14" t="s">
        <v>85</v>
      </c>
      <c r="AW256" s="14" t="s">
        <v>37</v>
      </c>
      <c r="AX256" s="14" t="s">
        <v>75</v>
      </c>
      <c r="AY256" s="157" t="s">
        <v>144</v>
      </c>
    </row>
    <row r="257" spans="2:51" s="14" customFormat="1" ht="22.5">
      <c r="B257" s="156"/>
      <c r="D257" s="150" t="s">
        <v>154</v>
      </c>
      <c r="E257" s="157" t="s">
        <v>3</v>
      </c>
      <c r="F257" s="158" t="s">
        <v>331</v>
      </c>
      <c r="H257" s="159">
        <v>16.599</v>
      </c>
      <c r="L257" s="156"/>
      <c r="M257" s="160"/>
      <c r="N257" s="161"/>
      <c r="O257" s="161"/>
      <c r="P257" s="161"/>
      <c r="Q257" s="161"/>
      <c r="R257" s="161"/>
      <c r="S257" s="161"/>
      <c r="T257" s="162"/>
      <c r="AT257" s="157" t="s">
        <v>154</v>
      </c>
      <c r="AU257" s="157" t="s">
        <v>85</v>
      </c>
      <c r="AV257" s="14" t="s">
        <v>85</v>
      </c>
      <c r="AW257" s="14" t="s">
        <v>37</v>
      </c>
      <c r="AX257" s="14" t="s">
        <v>75</v>
      </c>
      <c r="AY257" s="157" t="s">
        <v>144</v>
      </c>
    </row>
    <row r="258" spans="2:51" s="14" customFormat="1" ht="12">
      <c r="B258" s="156"/>
      <c r="D258" s="150" t="s">
        <v>154</v>
      </c>
      <c r="E258" s="157" t="s">
        <v>3</v>
      </c>
      <c r="F258" s="158" t="s">
        <v>332</v>
      </c>
      <c r="H258" s="159">
        <v>1.785</v>
      </c>
      <c r="L258" s="156"/>
      <c r="M258" s="160"/>
      <c r="N258" s="161"/>
      <c r="O258" s="161"/>
      <c r="P258" s="161"/>
      <c r="Q258" s="161"/>
      <c r="R258" s="161"/>
      <c r="S258" s="161"/>
      <c r="T258" s="162"/>
      <c r="AT258" s="157" t="s">
        <v>154</v>
      </c>
      <c r="AU258" s="157" t="s">
        <v>85</v>
      </c>
      <c r="AV258" s="14" t="s">
        <v>85</v>
      </c>
      <c r="AW258" s="14" t="s">
        <v>37</v>
      </c>
      <c r="AX258" s="14" t="s">
        <v>75</v>
      </c>
      <c r="AY258" s="157" t="s">
        <v>144</v>
      </c>
    </row>
    <row r="259" spans="2:51" s="16" customFormat="1" ht="12">
      <c r="B259" s="182"/>
      <c r="D259" s="150" t="s">
        <v>154</v>
      </c>
      <c r="E259" s="183" t="s">
        <v>3</v>
      </c>
      <c r="F259" s="184" t="s">
        <v>240</v>
      </c>
      <c r="H259" s="185">
        <v>73.527</v>
      </c>
      <c r="L259" s="182"/>
      <c r="M259" s="186"/>
      <c r="N259" s="187"/>
      <c r="O259" s="187"/>
      <c r="P259" s="187"/>
      <c r="Q259" s="187"/>
      <c r="R259" s="187"/>
      <c r="S259" s="187"/>
      <c r="T259" s="188"/>
      <c r="AT259" s="183" t="s">
        <v>154</v>
      </c>
      <c r="AU259" s="183" t="s">
        <v>85</v>
      </c>
      <c r="AV259" s="16" t="s">
        <v>145</v>
      </c>
      <c r="AW259" s="16" t="s">
        <v>37</v>
      </c>
      <c r="AX259" s="16" t="s">
        <v>75</v>
      </c>
      <c r="AY259" s="183" t="s">
        <v>144</v>
      </c>
    </row>
    <row r="260" spans="2:51" s="13" customFormat="1" ht="12">
      <c r="B260" s="149"/>
      <c r="D260" s="150" t="s">
        <v>154</v>
      </c>
      <c r="E260" s="151" t="s">
        <v>3</v>
      </c>
      <c r="F260" s="152" t="s">
        <v>167</v>
      </c>
      <c r="H260" s="151" t="s">
        <v>3</v>
      </c>
      <c r="L260" s="149"/>
      <c r="M260" s="153"/>
      <c r="N260" s="154"/>
      <c r="O260" s="154"/>
      <c r="P260" s="154"/>
      <c r="Q260" s="154"/>
      <c r="R260" s="154"/>
      <c r="S260" s="154"/>
      <c r="T260" s="155"/>
      <c r="AT260" s="151" t="s">
        <v>154</v>
      </c>
      <c r="AU260" s="151" t="s">
        <v>85</v>
      </c>
      <c r="AV260" s="13" t="s">
        <v>83</v>
      </c>
      <c r="AW260" s="13" t="s">
        <v>37</v>
      </c>
      <c r="AX260" s="13" t="s">
        <v>75</v>
      </c>
      <c r="AY260" s="151" t="s">
        <v>144</v>
      </c>
    </row>
    <row r="261" spans="2:51" s="14" customFormat="1" ht="12">
      <c r="B261" s="156"/>
      <c r="D261" s="150" t="s">
        <v>154</v>
      </c>
      <c r="E261" s="157" t="s">
        <v>3</v>
      </c>
      <c r="F261" s="158" t="s">
        <v>333</v>
      </c>
      <c r="H261" s="159">
        <v>4.575</v>
      </c>
      <c r="L261" s="156"/>
      <c r="M261" s="160"/>
      <c r="N261" s="161"/>
      <c r="O261" s="161"/>
      <c r="P261" s="161"/>
      <c r="Q261" s="161"/>
      <c r="R261" s="161"/>
      <c r="S261" s="161"/>
      <c r="T261" s="162"/>
      <c r="AT261" s="157" t="s">
        <v>154</v>
      </c>
      <c r="AU261" s="157" t="s">
        <v>85</v>
      </c>
      <c r="AV261" s="14" t="s">
        <v>85</v>
      </c>
      <c r="AW261" s="14" t="s">
        <v>37</v>
      </c>
      <c r="AX261" s="14" t="s">
        <v>75</v>
      </c>
      <c r="AY261" s="157" t="s">
        <v>144</v>
      </c>
    </row>
    <row r="262" spans="2:51" s="16" customFormat="1" ht="12">
      <c r="B262" s="182"/>
      <c r="D262" s="150" t="s">
        <v>154</v>
      </c>
      <c r="E262" s="183" t="s">
        <v>3</v>
      </c>
      <c r="F262" s="184" t="s">
        <v>240</v>
      </c>
      <c r="H262" s="185">
        <v>4.575</v>
      </c>
      <c r="L262" s="182"/>
      <c r="M262" s="186"/>
      <c r="N262" s="187"/>
      <c r="O262" s="187"/>
      <c r="P262" s="187"/>
      <c r="Q262" s="187"/>
      <c r="R262" s="187"/>
      <c r="S262" s="187"/>
      <c r="T262" s="188"/>
      <c r="AT262" s="183" t="s">
        <v>154</v>
      </c>
      <c r="AU262" s="183" t="s">
        <v>85</v>
      </c>
      <c r="AV262" s="16" t="s">
        <v>145</v>
      </c>
      <c r="AW262" s="16" t="s">
        <v>37</v>
      </c>
      <c r="AX262" s="16" t="s">
        <v>75</v>
      </c>
      <c r="AY262" s="183" t="s">
        <v>144</v>
      </c>
    </row>
    <row r="263" spans="2:51" s="15" customFormat="1" ht="12">
      <c r="B263" s="166"/>
      <c r="D263" s="150" t="s">
        <v>154</v>
      </c>
      <c r="E263" s="167" t="s">
        <v>3</v>
      </c>
      <c r="F263" s="168" t="s">
        <v>161</v>
      </c>
      <c r="H263" s="169">
        <v>78.102</v>
      </c>
      <c r="L263" s="166"/>
      <c r="M263" s="170"/>
      <c r="N263" s="171"/>
      <c r="O263" s="171"/>
      <c r="P263" s="171"/>
      <c r="Q263" s="171"/>
      <c r="R263" s="171"/>
      <c r="S263" s="171"/>
      <c r="T263" s="172"/>
      <c r="AT263" s="167" t="s">
        <v>154</v>
      </c>
      <c r="AU263" s="167" t="s">
        <v>85</v>
      </c>
      <c r="AV263" s="15" t="s">
        <v>152</v>
      </c>
      <c r="AW263" s="15" t="s">
        <v>37</v>
      </c>
      <c r="AX263" s="15" t="s">
        <v>83</v>
      </c>
      <c r="AY263" s="167" t="s">
        <v>144</v>
      </c>
    </row>
    <row r="264" spans="2:63" s="12" customFormat="1" ht="22.9" customHeight="1">
      <c r="B264" s="124"/>
      <c r="D264" s="125" t="s">
        <v>74</v>
      </c>
      <c r="E264" s="134" t="s">
        <v>334</v>
      </c>
      <c r="F264" s="134" t="s">
        <v>335</v>
      </c>
      <c r="J264" s="135">
        <f>BK264</f>
        <v>0</v>
      </c>
      <c r="L264" s="124"/>
      <c r="M264" s="128"/>
      <c r="N264" s="129"/>
      <c r="O264" s="129"/>
      <c r="P264" s="130">
        <f>SUM(P265:P276)</f>
        <v>285.596444</v>
      </c>
      <c r="Q264" s="129"/>
      <c r="R264" s="130">
        <f>SUM(R265:R276)</f>
        <v>0</v>
      </c>
      <c r="S264" s="129"/>
      <c r="T264" s="131">
        <f>SUM(T265:T276)</f>
        <v>0</v>
      </c>
      <c r="AR264" s="125" t="s">
        <v>83</v>
      </c>
      <c r="AT264" s="132" t="s">
        <v>74</v>
      </c>
      <c r="AU264" s="132" t="s">
        <v>83</v>
      </c>
      <c r="AY264" s="125" t="s">
        <v>144</v>
      </c>
      <c r="BK264" s="133">
        <f>SUM(BK265:BK276)</f>
        <v>0</v>
      </c>
    </row>
    <row r="265" spans="1:65" s="2" customFormat="1" ht="37.9" customHeight="1">
      <c r="A265" s="31"/>
      <c r="B265" s="136"/>
      <c r="C265" s="137" t="s">
        <v>336</v>
      </c>
      <c r="D265" s="137" t="s">
        <v>147</v>
      </c>
      <c r="E265" s="138" t="s">
        <v>337</v>
      </c>
      <c r="F265" s="139" t="s">
        <v>338</v>
      </c>
      <c r="G265" s="140" t="s">
        <v>170</v>
      </c>
      <c r="H265" s="141">
        <v>71.596</v>
      </c>
      <c r="I265" s="142"/>
      <c r="J265" s="142">
        <f>ROUND(I265*H265,2)</f>
        <v>0</v>
      </c>
      <c r="K265" s="139" t="s">
        <v>157</v>
      </c>
      <c r="L265" s="32"/>
      <c r="M265" s="143" t="s">
        <v>3</v>
      </c>
      <c r="N265" s="144" t="s">
        <v>46</v>
      </c>
      <c r="O265" s="145">
        <v>2.42</v>
      </c>
      <c r="P265" s="145">
        <f>O265*H265</f>
        <v>173.26232000000002</v>
      </c>
      <c r="Q265" s="145">
        <v>0</v>
      </c>
      <c r="R265" s="145">
        <f>Q265*H265</f>
        <v>0</v>
      </c>
      <c r="S265" s="145">
        <v>0</v>
      </c>
      <c r="T265" s="146">
        <f>S265*H265</f>
        <v>0</v>
      </c>
      <c r="U265" s="31"/>
      <c r="V265" s="31"/>
      <c r="W265" s="31"/>
      <c r="X265" s="31"/>
      <c r="Y265" s="31"/>
      <c r="Z265" s="31"/>
      <c r="AA265" s="31"/>
      <c r="AB265" s="31"/>
      <c r="AC265" s="31"/>
      <c r="AD265" s="31"/>
      <c r="AE265" s="31"/>
      <c r="AR265" s="147" t="s">
        <v>152</v>
      </c>
      <c r="AT265" s="147" t="s">
        <v>147</v>
      </c>
      <c r="AU265" s="147" t="s">
        <v>85</v>
      </c>
      <c r="AY265" s="19" t="s">
        <v>144</v>
      </c>
      <c r="BE265" s="148">
        <f>IF(N265="základní",J265,0)</f>
        <v>0</v>
      </c>
      <c r="BF265" s="148">
        <f>IF(N265="snížená",J265,0)</f>
        <v>0</v>
      </c>
      <c r="BG265" s="148">
        <f>IF(N265="zákl. přenesená",J265,0)</f>
        <v>0</v>
      </c>
      <c r="BH265" s="148">
        <f>IF(N265="sníž. přenesená",J265,0)</f>
        <v>0</v>
      </c>
      <c r="BI265" s="148">
        <f>IF(N265="nulová",J265,0)</f>
        <v>0</v>
      </c>
      <c r="BJ265" s="19" t="s">
        <v>83</v>
      </c>
      <c r="BK265" s="148">
        <f>ROUND(I265*H265,2)</f>
        <v>0</v>
      </c>
      <c r="BL265" s="19" t="s">
        <v>152</v>
      </c>
      <c r="BM265" s="147" t="s">
        <v>339</v>
      </c>
    </row>
    <row r="266" spans="1:47" s="2" customFormat="1" ht="146.25">
      <c r="A266" s="31"/>
      <c r="B266" s="32"/>
      <c r="C266" s="31"/>
      <c r="D266" s="150" t="s">
        <v>158</v>
      </c>
      <c r="E266" s="31"/>
      <c r="F266" s="163" t="s">
        <v>340</v>
      </c>
      <c r="G266" s="31"/>
      <c r="H266" s="31"/>
      <c r="I266" s="31"/>
      <c r="J266" s="31"/>
      <c r="K266" s="31"/>
      <c r="L266" s="32"/>
      <c r="M266" s="164"/>
      <c r="N266" s="165"/>
      <c r="O266" s="52"/>
      <c r="P266" s="52"/>
      <c r="Q266" s="52"/>
      <c r="R266" s="52"/>
      <c r="S266" s="52"/>
      <c r="T266" s="53"/>
      <c r="U266" s="31"/>
      <c r="V266" s="31"/>
      <c r="W266" s="31"/>
      <c r="X266" s="31"/>
      <c r="Y266" s="31"/>
      <c r="Z266" s="31"/>
      <c r="AA266" s="31"/>
      <c r="AB266" s="31"/>
      <c r="AC266" s="31"/>
      <c r="AD266" s="31"/>
      <c r="AE266" s="31"/>
      <c r="AT266" s="19" t="s">
        <v>158</v>
      </c>
      <c r="AU266" s="19" t="s">
        <v>85</v>
      </c>
    </row>
    <row r="267" spans="1:65" s="2" customFormat="1" ht="62.65" customHeight="1">
      <c r="A267" s="31"/>
      <c r="B267" s="136"/>
      <c r="C267" s="137" t="s">
        <v>341</v>
      </c>
      <c r="D267" s="137" t="s">
        <v>147</v>
      </c>
      <c r="E267" s="138" t="s">
        <v>342</v>
      </c>
      <c r="F267" s="139" t="s">
        <v>343</v>
      </c>
      <c r="G267" s="140" t="s">
        <v>170</v>
      </c>
      <c r="H267" s="141">
        <f>H269</f>
        <v>357.98</v>
      </c>
      <c r="I267" s="142"/>
      <c r="J267" s="142">
        <f>ROUND(I267*H267,2)</f>
        <v>0</v>
      </c>
      <c r="K267" s="139" t="s">
        <v>157</v>
      </c>
      <c r="L267" s="32"/>
      <c r="M267" s="143" t="s">
        <v>3</v>
      </c>
      <c r="N267" s="144" t="s">
        <v>46</v>
      </c>
      <c r="O267" s="145">
        <v>0.26</v>
      </c>
      <c r="P267" s="145">
        <f>O267*H267</f>
        <v>93.07480000000001</v>
      </c>
      <c r="Q267" s="145">
        <v>0</v>
      </c>
      <c r="R267" s="145">
        <f>Q267*H267</f>
        <v>0</v>
      </c>
      <c r="S267" s="145">
        <v>0</v>
      </c>
      <c r="T267" s="146">
        <f>S267*H267</f>
        <v>0</v>
      </c>
      <c r="U267" s="31"/>
      <c r="V267" s="31"/>
      <c r="W267" s="31"/>
      <c r="X267" s="31"/>
      <c r="Y267" s="31"/>
      <c r="Z267" s="31"/>
      <c r="AA267" s="31"/>
      <c r="AB267" s="31"/>
      <c r="AC267" s="31"/>
      <c r="AD267" s="31"/>
      <c r="AE267" s="31"/>
      <c r="AR267" s="147" t="s">
        <v>152</v>
      </c>
      <c r="AT267" s="147" t="s">
        <v>147</v>
      </c>
      <c r="AU267" s="147" t="s">
        <v>85</v>
      </c>
      <c r="AY267" s="19" t="s">
        <v>144</v>
      </c>
      <c r="BE267" s="148">
        <f>IF(N267="základní",J267,0)</f>
        <v>0</v>
      </c>
      <c r="BF267" s="148">
        <f>IF(N267="snížená",J267,0)</f>
        <v>0</v>
      </c>
      <c r="BG267" s="148">
        <f>IF(N267="zákl. přenesená",J267,0)</f>
        <v>0</v>
      </c>
      <c r="BH267" s="148">
        <f>IF(N267="sníž. přenesená",J267,0)</f>
        <v>0</v>
      </c>
      <c r="BI267" s="148">
        <f>IF(N267="nulová",J267,0)</f>
        <v>0</v>
      </c>
      <c r="BJ267" s="19" t="s">
        <v>83</v>
      </c>
      <c r="BK267" s="148">
        <f>ROUND(I267*H267,2)</f>
        <v>0</v>
      </c>
      <c r="BL267" s="19" t="s">
        <v>152</v>
      </c>
      <c r="BM267" s="147" t="s">
        <v>344</v>
      </c>
    </row>
    <row r="268" spans="1:47" s="2" customFormat="1" ht="146.25">
      <c r="A268" s="31"/>
      <c r="B268" s="32"/>
      <c r="C268" s="31"/>
      <c r="D268" s="150" t="s">
        <v>158</v>
      </c>
      <c r="E268" s="31"/>
      <c r="F268" s="163" t="s">
        <v>340</v>
      </c>
      <c r="G268" s="31"/>
      <c r="H268" s="31"/>
      <c r="I268" s="31"/>
      <c r="J268" s="31"/>
      <c r="K268" s="31"/>
      <c r="L268" s="32"/>
      <c r="M268" s="164"/>
      <c r="N268" s="165"/>
      <c r="O268" s="52"/>
      <c r="P268" s="52"/>
      <c r="Q268" s="52"/>
      <c r="R268" s="52"/>
      <c r="S268" s="52"/>
      <c r="T268" s="53"/>
      <c r="U268" s="31"/>
      <c r="V268" s="31"/>
      <c r="W268" s="31"/>
      <c r="X268" s="31"/>
      <c r="Y268" s="31"/>
      <c r="Z268" s="31"/>
      <c r="AA268" s="31"/>
      <c r="AB268" s="31"/>
      <c r="AC268" s="31"/>
      <c r="AD268" s="31"/>
      <c r="AE268" s="31"/>
      <c r="AT268" s="19" t="s">
        <v>158</v>
      </c>
      <c r="AU268" s="19" t="s">
        <v>85</v>
      </c>
    </row>
    <row r="269" spans="2:51" s="14" customFormat="1" ht="12">
      <c r="B269" s="156"/>
      <c r="D269" s="150" t="s">
        <v>154</v>
      </c>
      <c r="F269" s="158" t="s">
        <v>1890</v>
      </c>
      <c r="H269" s="159">
        <f>H265*5</f>
        <v>357.98</v>
      </c>
      <c r="L269" s="156"/>
      <c r="M269" s="160"/>
      <c r="N269" s="161"/>
      <c r="O269" s="161"/>
      <c r="P269" s="161"/>
      <c r="Q269" s="161"/>
      <c r="R269" s="161"/>
      <c r="S269" s="161"/>
      <c r="T269" s="162"/>
      <c r="AT269" s="157" t="s">
        <v>154</v>
      </c>
      <c r="AU269" s="157" t="s">
        <v>85</v>
      </c>
      <c r="AV269" s="14" t="s">
        <v>85</v>
      </c>
      <c r="AW269" s="14" t="s">
        <v>4</v>
      </c>
      <c r="AX269" s="14" t="s">
        <v>83</v>
      </c>
      <c r="AY269" s="157" t="s">
        <v>144</v>
      </c>
    </row>
    <row r="270" spans="1:65" s="2" customFormat="1" ht="24.2" customHeight="1">
      <c r="A270" s="31"/>
      <c r="B270" s="136"/>
      <c r="C270" s="137" t="s">
        <v>345</v>
      </c>
      <c r="D270" s="137" t="s">
        <v>147</v>
      </c>
      <c r="E270" s="138" t="s">
        <v>346</v>
      </c>
      <c r="F270" s="139" t="s">
        <v>347</v>
      </c>
      <c r="G270" s="140" t="s">
        <v>170</v>
      </c>
      <c r="H270" s="141">
        <f>H265</f>
        <v>71.596</v>
      </c>
      <c r="I270" s="142"/>
      <c r="J270" s="142">
        <f>ROUND(I270*H270,2)</f>
        <v>0</v>
      </c>
      <c r="K270" s="139" t="s">
        <v>157</v>
      </c>
      <c r="L270" s="32"/>
      <c r="M270" s="143" t="s">
        <v>3</v>
      </c>
      <c r="N270" s="144" t="s">
        <v>46</v>
      </c>
      <c r="O270" s="145">
        <v>0.125</v>
      </c>
      <c r="P270" s="145">
        <f>O270*H270</f>
        <v>8.9495</v>
      </c>
      <c r="Q270" s="145">
        <v>0</v>
      </c>
      <c r="R270" s="145">
        <f>Q270*H270</f>
        <v>0</v>
      </c>
      <c r="S270" s="145">
        <v>0</v>
      </c>
      <c r="T270" s="146">
        <f>S270*H270</f>
        <v>0</v>
      </c>
      <c r="U270" s="31"/>
      <c r="V270" s="31"/>
      <c r="W270" s="31"/>
      <c r="X270" s="31"/>
      <c r="Y270" s="31"/>
      <c r="Z270" s="31"/>
      <c r="AA270" s="31"/>
      <c r="AB270" s="31"/>
      <c r="AC270" s="31"/>
      <c r="AD270" s="31"/>
      <c r="AE270" s="31"/>
      <c r="AR270" s="147" t="s">
        <v>152</v>
      </c>
      <c r="AT270" s="147" t="s">
        <v>147</v>
      </c>
      <c r="AU270" s="147" t="s">
        <v>85</v>
      </c>
      <c r="AY270" s="19" t="s">
        <v>144</v>
      </c>
      <c r="BE270" s="148">
        <f>IF(N270="základní",J270,0)</f>
        <v>0</v>
      </c>
      <c r="BF270" s="148">
        <f>IF(N270="snížená",J270,0)</f>
        <v>0</v>
      </c>
      <c r="BG270" s="148">
        <f>IF(N270="zákl. přenesená",J270,0)</f>
        <v>0</v>
      </c>
      <c r="BH270" s="148">
        <f>IF(N270="sníž. přenesená",J270,0)</f>
        <v>0</v>
      </c>
      <c r="BI270" s="148">
        <f>IF(N270="nulová",J270,0)</f>
        <v>0</v>
      </c>
      <c r="BJ270" s="19" t="s">
        <v>83</v>
      </c>
      <c r="BK270" s="148">
        <f>ROUND(I270*H270,2)</f>
        <v>0</v>
      </c>
      <c r="BL270" s="19" t="s">
        <v>152</v>
      </c>
      <c r="BM270" s="147" t="s">
        <v>348</v>
      </c>
    </row>
    <row r="271" spans="1:47" s="2" customFormat="1" ht="107.25">
      <c r="A271" s="31"/>
      <c r="B271" s="32"/>
      <c r="C271" s="31"/>
      <c r="D271" s="150" t="s">
        <v>158</v>
      </c>
      <c r="E271" s="31"/>
      <c r="F271" s="163" t="s">
        <v>349</v>
      </c>
      <c r="G271" s="31"/>
      <c r="H271" s="31"/>
      <c r="I271" s="31"/>
      <c r="J271" s="31"/>
      <c r="K271" s="31"/>
      <c r="L271" s="32"/>
      <c r="M271" s="164"/>
      <c r="N271" s="165"/>
      <c r="O271" s="52"/>
      <c r="P271" s="52"/>
      <c r="Q271" s="52"/>
      <c r="R271" s="52"/>
      <c r="S271" s="52"/>
      <c r="T271" s="53"/>
      <c r="U271" s="31"/>
      <c r="V271" s="31"/>
      <c r="W271" s="31"/>
      <c r="X271" s="31"/>
      <c r="Y271" s="31"/>
      <c r="Z271" s="31"/>
      <c r="AA271" s="31"/>
      <c r="AB271" s="31"/>
      <c r="AC271" s="31"/>
      <c r="AD271" s="31"/>
      <c r="AE271" s="31"/>
      <c r="AT271" s="19" t="s">
        <v>158</v>
      </c>
      <c r="AU271" s="19" t="s">
        <v>85</v>
      </c>
    </row>
    <row r="272" spans="1:65" s="2" customFormat="1" ht="37.9" customHeight="1">
      <c r="A272" s="31"/>
      <c r="B272" s="136"/>
      <c r="C272" s="137" t="s">
        <v>350</v>
      </c>
      <c r="D272" s="137" t="s">
        <v>147</v>
      </c>
      <c r="E272" s="138" t="s">
        <v>351</v>
      </c>
      <c r="F272" s="139" t="s">
        <v>352</v>
      </c>
      <c r="G272" s="140" t="s">
        <v>170</v>
      </c>
      <c r="H272" s="141">
        <f>H274</f>
        <v>1718.304</v>
      </c>
      <c r="I272" s="142"/>
      <c r="J272" s="142">
        <f>ROUND(I272*H272,2)</f>
        <v>0</v>
      </c>
      <c r="K272" s="139" t="s">
        <v>157</v>
      </c>
      <c r="L272" s="32"/>
      <c r="M272" s="143" t="s">
        <v>3</v>
      </c>
      <c r="N272" s="144" t="s">
        <v>46</v>
      </c>
      <c r="O272" s="145">
        <v>0.006</v>
      </c>
      <c r="P272" s="145">
        <f>O272*H272</f>
        <v>10.309824</v>
      </c>
      <c r="Q272" s="145">
        <v>0</v>
      </c>
      <c r="R272" s="145">
        <f>Q272*H272</f>
        <v>0</v>
      </c>
      <c r="S272" s="145">
        <v>0</v>
      </c>
      <c r="T272" s="146">
        <f>S272*H272</f>
        <v>0</v>
      </c>
      <c r="U272" s="31"/>
      <c r="V272" s="31"/>
      <c r="W272" s="31"/>
      <c r="X272" s="31"/>
      <c r="Y272" s="31"/>
      <c r="Z272" s="31"/>
      <c r="AA272" s="31"/>
      <c r="AB272" s="31"/>
      <c r="AC272" s="31"/>
      <c r="AD272" s="31"/>
      <c r="AE272" s="31"/>
      <c r="AR272" s="147" t="s">
        <v>152</v>
      </c>
      <c r="AT272" s="147" t="s">
        <v>147</v>
      </c>
      <c r="AU272" s="147" t="s">
        <v>85</v>
      </c>
      <c r="AY272" s="19" t="s">
        <v>144</v>
      </c>
      <c r="BE272" s="148">
        <f>IF(N272="základní",J272,0)</f>
        <v>0</v>
      </c>
      <c r="BF272" s="148">
        <f>IF(N272="snížená",J272,0)</f>
        <v>0</v>
      </c>
      <c r="BG272" s="148">
        <f>IF(N272="zákl. přenesená",J272,0)</f>
        <v>0</v>
      </c>
      <c r="BH272" s="148">
        <f>IF(N272="sníž. přenesená",J272,0)</f>
        <v>0</v>
      </c>
      <c r="BI272" s="148">
        <f>IF(N272="nulová",J272,0)</f>
        <v>0</v>
      </c>
      <c r="BJ272" s="19" t="s">
        <v>83</v>
      </c>
      <c r="BK272" s="148">
        <f>ROUND(I272*H272,2)</f>
        <v>0</v>
      </c>
      <c r="BL272" s="19" t="s">
        <v>152</v>
      </c>
      <c r="BM272" s="147" t="s">
        <v>353</v>
      </c>
    </row>
    <row r="273" spans="1:47" s="2" customFormat="1" ht="107.25">
      <c r="A273" s="31"/>
      <c r="B273" s="32"/>
      <c r="C273" s="31"/>
      <c r="D273" s="150" t="s">
        <v>158</v>
      </c>
      <c r="E273" s="31"/>
      <c r="F273" s="163" t="s">
        <v>349</v>
      </c>
      <c r="G273" s="31"/>
      <c r="H273" s="31"/>
      <c r="I273" s="31"/>
      <c r="J273" s="31"/>
      <c r="K273" s="31"/>
      <c r="L273" s="32"/>
      <c r="M273" s="164"/>
      <c r="N273" s="165"/>
      <c r="O273" s="52"/>
      <c r="P273" s="52"/>
      <c r="Q273" s="52"/>
      <c r="R273" s="52"/>
      <c r="S273" s="52"/>
      <c r="T273" s="53"/>
      <c r="U273" s="31"/>
      <c r="V273" s="31"/>
      <c r="W273" s="31"/>
      <c r="X273" s="31"/>
      <c r="Y273" s="31"/>
      <c r="Z273" s="31"/>
      <c r="AA273" s="31"/>
      <c r="AB273" s="31"/>
      <c r="AC273" s="31"/>
      <c r="AD273" s="31"/>
      <c r="AE273" s="31"/>
      <c r="AT273" s="19" t="s">
        <v>158</v>
      </c>
      <c r="AU273" s="19" t="s">
        <v>85</v>
      </c>
    </row>
    <row r="274" spans="2:51" s="14" customFormat="1" ht="12">
      <c r="B274" s="156"/>
      <c r="D274" s="150" t="s">
        <v>154</v>
      </c>
      <c r="F274" s="158" t="s">
        <v>1891</v>
      </c>
      <c r="H274" s="159">
        <f>H265*24</f>
        <v>1718.304</v>
      </c>
      <c r="L274" s="156"/>
      <c r="M274" s="160"/>
      <c r="N274" s="161"/>
      <c r="O274" s="161"/>
      <c r="P274" s="161"/>
      <c r="Q274" s="161"/>
      <c r="R274" s="161"/>
      <c r="S274" s="161"/>
      <c r="T274" s="162"/>
      <c r="AT274" s="157" t="s">
        <v>154</v>
      </c>
      <c r="AU274" s="157" t="s">
        <v>85</v>
      </c>
      <c r="AV274" s="14" t="s">
        <v>85</v>
      </c>
      <c r="AW274" s="14" t="s">
        <v>4</v>
      </c>
      <c r="AX274" s="14" t="s">
        <v>83</v>
      </c>
      <c r="AY274" s="157" t="s">
        <v>144</v>
      </c>
    </row>
    <row r="275" spans="1:65" s="2" customFormat="1" ht="37.9" customHeight="1">
      <c r="A275" s="31"/>
      <c r="B275" s="136"/>
      <c r="C275" s="137" t="s">
        <v>354</v>
      </c>
      <c r="D275" s="137" t="s">
        <v>147</v>
      </c>
      <c r="E275" s="138" t="s">
        <v>355</v>
      </c>
      <c r="F275" s="139" t="s">
        <v>356</v>
      </c>
      <c r="G275" s="140" t="s">
        <v>170</v>
      </c>
      <c r="H275" s="141">
        <f>H265</f>
        <v>71.596</v>
      </c>
      <c r="I275" s="142"/>
      <c r="J275" s="142">
        <f>ROUND(I275*H275,2)</f>
        <v>0</v>
      </c>
      <c r="K275" s="139" t="s">
        <v>157</v>
      </c>
      <c r="L275" s="32"/>
      <c r="M275" s="143" t="s">
        <v>3</v>
      </c>
      <c r="N275" s="144" t="s">
        <v>46</v>
      </c>
      <c r="O275" s="145">
        <v>0</v>
      </c>
      <c r="P275" s="145">
        <f>O275*H275</f>
        <v>0</v>
      </c>
      <c r="Q275" s="145">
        <v>0</v>
      </c>
      <c r="R275" s="145">
        <f>Q275*H275</f>
        <v>0</v>
      </c>
      <c r="S275" s="145">
        <v>0</v>
      </c>
      <c r="T275" s="146">
        <f>S275*H275</f>
        <v>0</v>
      </c>
      <c r="U275" s="31"/>
      <c r="V275" s="31"/>
      <c r="W275" s="31"/>
      <c r="X275" s="31"/>
      <c r="Y275" s="31"/>
      <c r="Z275" s="31"/>
      <c r="AA275" s="31"/>
      <c r="AB275" s="31"/>
      <c r="AC275" s="31"/>
      <c r="AD275" s="31"/>
      <c r="AE275" s="31"/>
      <c r="AR275" s="147" t="s">
        <v>152</v>
      </c>
      <c r="AT275" s="147" t="s">
        <v>147</v>
      </c>
      <c r="AU275" s="147" t="s">
        <v>85</v>
      </c>
      <c r="AY275" s="19" t="s">
        <v>144</v>
      </c>
      <c r="BE275" s="148">
        <f>IF(N275="základní",J275,0)</f>
        <v>0</v>
      </c>
      <c r="BF275" s="148">
        <f>IF(N275="snížená",J275,0)</f>
        <v>0</v>
      </c>
      <c r="BG275" s="148">
        <f>IF(N275="zákl. přenesená",J275,0)</f>
        <v>0</v>
      </c>
      <c r="BH275" s="148">
        <f>IF(N275="sníž. přenesená",J275,0)</f>
        <v>0</v>
      </c>
      <c r="BI275" s="148">
        <f>IF(N275="nulová",J275,0)</f>
        <v>0</v>
      </c>
      <c r="BJ275" s="19" t="s">
        <v>83</v>
      </c>
      <c r="BK275" s="148">
        <f>ROUND(I275*H275,2)</f>
        <v>0</v>
      </c>
      <c r="BL275" s="19" t="s">
        <v>152</v>
      </c>
      <c r="BM275" s="147" t="s">
        <v>357</v>
      </c>
    </row>
    <row r="276" spans="1:47" s="2" customFormat="1" ht="107.25">
      <c r="A276" s="31"/>
      <c r="B276" s="32"/>
      <c r="C276" s="31"/>
      <c r="D276" s="150" t="s">
        <v>158</v>
      </c>
      <c r="E276" s="31"/>
      <c r="F276" s="163" t="s">
        <v>358</v>
      </c>
      <c r="G276" s="31"/>
      <c r="H276" s="31"/>
      <c r="I276" s="31"/>
      <c r="J276" s="31"/>
      <c r="K276" s="31"/>
      <c r="L276" s="32"/>
      <c r="M276" s="164"/>
      <c r="N276" s="165"/>
      <c r="O276" s="52"/>
      <c r="P276" s="52"/>
      <c r="Q276" s="52"/>
      <c r="R276" s="52"/>
      <c r="S276" s="52"/>
      <c r="T276" s="53"/>
      <c r="U276" s="31"/>
      <c r="V276" s="31"/>
      <c r="W276" s="31"/>
      <c r="X276" s="31"/>
      <c r="Y276" s="31"/>
      <c r="Z276" s="31"/>
      <c r="AA276" s="31"/>
      <c r="AB276" s="31"/>
      <c r="AC276" s="31"/>
      <c r="AD276" s="31"/>
      <c r="AE276" s="31"/>
      <c r="AT276" s="19" t="s">
        <v>158</v>
      </c>
      <c r="AU276" s="19" t="s">
        <v>85</v>
      </c>
    </row>
    <row r="277" spans="2:63" s="12" customFormat="1" ht="22.9" customHeight="1">
      <c r="B277" s="124"/>
      <c r="D277" s="125" t="s">
        <v>74</v>
      </c>
      <c r="E277" s="134" t="s">
        <v>359</v>
      </c>
      <c r="F277" s="134" t="s">
        <v>360</v>
      </c>
      <c r="J277" s="135">
        <f>BK277</f>
        <v>0</v>
      </c>
      <c r="L277" s="124"/>
      <c r="M277" s="128"/>
      <c r="N277" s="129"/>
      <c r="O277" s="129"/>
      <c r="P277" s="130">
        <f>SUM(P278:P279)</f>
        <v>200.77588</v>
      </c>
      <c r="Q277" s="129"/>
      <c r="R277" s="130">
        <f>SUM(R278:R279)</f>
        <v>0</v>
      </c>
      <c r="S277" s="129"/>
      <c r="T277" s="131">
        <f>SUM(T278:T279)</f>
        <v>0</v>
      </c>
      <c r="AR277" s="125" t="s">
        <v>83</v>
      </c>
      <c r="AT277" s="132" t="s">
        <v>74</v>
      </c>
      <c r="AU277" s="132" t="s">
        <v>83</v>
      </c>
      <c r="AY277" s="125" t="s">
        <v>144</v>
      </c>
      <c r="BK277" s="133">
        <f>SUM(BK278:BK279)</f>
        <v>0</v>
      </c>
    </row>
    <row r="278" spans="1:65" s="2" customFormat="1" ht="49.15" customHeight="1">
      <c r="A278" s="31"/>
      <c r="B278" s="136"/>
      <c r="C278" s="137" t="s">
        <v>361</v>
      </c>
      <c r="D278" s="137" t="s">
        <v>147</v>
      </c>
      <c r="E278" s="138" t="s">
        <v>362</v>
      </c>
      <c r="F278" s="139" t="s">
        <v>363</v>
      </c>
      <c r="G278" s="140" t="s">
        <v>170</v>
      </c>
      <c r="H278" s="141">
        <v>49.697</v>
      </c>
      <c r="I278" s="142"/>
      <c r="J278" s="142">
        <f>ROUND(I278*H278,2)</f>
        <v>0</v>
      </c>
      <c r="K278" s="139" t="s">
        <v>157</v>
      </c>
      <c r="L278" s="32"/>
      <c r="M278" s="143" t="s">
        <v>3</v>
      </c>
      <c r="N278" s="144" t="s">
        <v>46</v>
      </c>
      <c r="O278" s="145">
        <v>4.04</v>
      </c>
      <c r="P278" s="145">
        <f>O278*H278</f>
        <v>200.77588</v>
      </c>
      <c r="Q278" s="145">
        <v>0</v>
      </c>
      <c r="R278" s="145">
        <f>Q278*H278</f>
        <v>0</v>
      </c>
      <c r="S278" s="145">
        <v>0</v>
      </c>
      <c r="T278" s="146">
        <f>S278*H278</f>
        <v>0</v>
      </c>
      <c r="U278" s="31"/>
      <c r="V278" s="31"/>
      <c r="W278" s="31"/>
      <c r="X278" s="31"/>
      <c r="Y278" s="31"/>
      <c r="Z278" s="31"/>
      <c r="AA278" s="31"/>
      <c r="AB278" s="31"/>
      <c r="AC278" s="31"/>
      <c r="AD278" s="31"/>
      <c r="AE278" s="31"/>
      <c r="AR278" s="147" t="s">
        <v>152</v>
      </c>
      <c r="AT278" s="147" t="s">
        <v>147</v>
      </c>
      <c r="AU278" s="147" t="s">
        <v>85</v>
      </c>
      <c r="AY278" s="19" t="s">
        <v>144</v>
      </c>
      <c r="BE278" s="148">
        <f>IF(N278="základní",J278,0)</f>
        <v>0</v>
      </c>
      <c r="BF278" s="148">
        <f>IF(N278="snížená",J278,0)</f>
        <v>0</v>
      </c>
      <c r="BG278" s="148">
        <f>IF(N278="zákl. přenesená",J278,0)</f>
        <v>0</v>
      </c>
      <c r="BH278" s="148">
        <f>IF(N278="sníž. přenesená",J278,0)</f>
        <v>0</v>
      </c>
      <c r="BI278" s="148">
        <f>IF(N278="nulová",J278,0)</f>
        <v>0</v>
      </c>
      <c r="BJ278" s="19" t="s">
        <v>83</v>
      </c>
      <c r="BK278" s="148">
        <f>ROUND(I278*H278,2)</f>
        <v>0</v>
      </c>
      <c r="BL278" s="19" t="s">
        <v>152</v>
      </c>
      <c r="BM278" s="147" t="s">
        <v>364</v>
      </c>
    </row>
    <row r="279" spans="1:47" s="2" customFormat="1" ht="87.75">
      <c r="A279" s="31"/>
      <c r="B279" s="32"/>
      <c r="C279" s="31"/>
      <c r="D279" s="150" t="s">
        <v>158</v>
      </c>
      <c r="E279" s="31"/>
      <c r="F279" s="163" t="s">
        <v>365</v>
      </c>
      <c r="G279" s="31"/>
      <c r="H279" s="31"/>
      <c r="I279" s="31"/>
      <c r="J279" s="31"/>
      <c r="K279" s="31"/>
      <c r="L279" s="32"/>
      <c r="M279" s="164"/>
      <c r="N279" s="165"/>
      <c r="O279" s="52"/>
      <c r="P279" s="52"/>
      <c r="Q279" s="52"/>
      <c r="R279" s="52"/>
      <c r="S279" s="52"/>
      <c r="T279" s="53"/>
      <c r="U279" s="31"/>
      <c r="V279" s="31"/>
      <c r="W279" s="31"/>
      <c r="X279" s="31"/>
      <c r="Y279" s="31"/>
      <c r="Z279" s="31"/>
      <c r="AA279" s="31"/>
      <c r="AB279" s="31"/>
      <c r="AC279" s="31"/>
      <c r="AD279" s="31"/>
      <c r="AE279" s="31"/>
      <c r="AT279" s="19" t="s">
        <v>158</v>
      </c>
      <c r="AU279" s="19" t="s">
        <v>85</v>
      </c>
    </row>
    <row r="280" spans="2:63" s="12" customFormat="1" ht="25.9" customHeight="1">
      <c r="B280" s="124"/>
      <c r="D280" s="125" t="s">
        <v>74</v>
      </c>
      <c r="E280" s="126" t="s">
        <v>366</v>
      </c>
      <c r="F280" s="126" t="s">
        <v>367</v>
      </c>
      <c r="J280" s="127">
        <f>J281+J309+J439+J454+J511+J553+J572+J643+J670+J700</f>
        <v>0</v>
      </c>
      <c r="L280" s="124"/>
      <c r="M280" s="128"/>
      <c r="N280" s="129"/>
      <c r="O280" s="129"/>
      <c r="P280" s="130" t="e">
        <f>P281+P299+P309+P439+P454+#REF!+P511+P553+P572+P643+P670+P700</f>
        <v>#REF!</v>
      </c>
      <c r="Q280" s="129"/>
      <c r="R280" s="130" t="e">
        <f>R281+R299+R309+R439+R454+#REF!+R511+R553+R572+R643+R670+R700</f>
        <v>#REF!</v>
      </c>
      <c r="S280" s="129"/>
      <c r="T280" s="131" t="e">
        <f>T281+T299+T309+T439+T454+#REF!+T511+T553+T572+T643+T670+T700</f>
        <v>#REF!</v>
      </c>
      <c r="AR280" s="125" t="s">
        <v>85</v>
      </c>
      <c r="AT280" s="132" t="s">
        <v>74</v>
      </c>
      <c r="AU280" s="132" t="s">
        <v>75</v>
      </c>
      <c r="AY280" s="125" t="s">
        <v>144</v>
      </c>
      <c r="BK280" s="133" t="e">
        <f>BK281+BK299+BK309+BK439+BK454+#REF!+BK511+BK553+BK572+BK643+BK670+BK700</f>
        <v>#REF!</v>
      </c>
    </row>
    <row r="281" spans="2:63" s="12" customFormat="1" ht="22.9" customHeight="1">
      <c r="B281" s="124"/>
      <c r="D281" s="125" t="s">
        <v>74</v>
      </c>
      <c r="E281" s="134" t="s">
        <v>368</v>
      </c>
      <c r="F281" s="134" t="s">
        <v>369</v>
      </c>
      <c r="J281" s="135">
        <f>BK281</f>
        <v>0</v>
      </c>
      <c r="L281" s="124"/>
      <c r="M281" s="128"/>
      <c r="N281" s="129"/>
      <c r="O281" s="129"/>
      <c r="P281" s="130">
        <f>SUM(P282:P298)</f>
        <v>31.538880000000002</v>
      </c>
      <c r="Q281" s="129"/>
      <c r="R281" s="130">
        <f>SUM(R282:R298)</f>
        <v>0.3743844</v>
      </c>
      <c r="S281" s="129"/>
      <c r="T281" s="131">
        <f>SUM(T282:T298)</f>
        <v>0</v>
      </c>
      <c r="AR281" s="125" t="s">
        <v>85</v>
      </c>
      <c r="AT281" s="132" t="s">
        <v>74</v>
      </c>
      <c r="AU281" s="132" t="s">
        <v>83</v>
      </c>
      <c r="AY281" s="125" t="s">
        <v>144</v>
      </c>
      <c r="BK281" s="133">
        <f>SUM(BK282:BK298)</f>
        <v>0</v>
      </c>
    </row>
    <row r="282" spans="1:65" s="2" customFormat="1" ht="49.15" customHeight="1">
      <c r="A282" s="31"/>
      <c r="B282" s="136"/>
      <c r="C282" s="137" t="s">
        <v>370</v>
      </c>
      <c r="D282" s="137" t="s">
        <v>147</v>
      </c>
      <c r="E282" s="138" t="s">
        <v>371</v>
      </c>
      <c r="F282" s="139" t="s">
        <v>372</v>
      </c>
      <c r="G282" s="140" t="s">
        <v>183</v>
      </c>
      <c r="H282" s="141">
        <f>H290</f>
        <v>27.96</v>
      </c>
      <c r="I282" s="142"/>
      <c r="J282" s="142">
        <f>ROUND(I282*H282,2)</f>
        <v>0</v>
      </c>
      <c r="K282" s="139" t="s">
        <v>157</v>
      </c>
      <c r="L282" s="32"/>
      <c r="M282" s="143" t="s">
        <v>3</v>
      </c>
      <c r="N282" s="144" t="s">
        <v>46</v>
      </c>
      <c r="O282" s="145">
        <v>0.968</v>
      </c>
      <c r="P282" s="145">
        <f>O282*H282</f>
        <v>27.06528</v>
      </c>
      <c r="Q282" s="145">
        <v>0.01259</v>
      </c>
      <c r="R282" s="145">
        <f>Q282*H282</f>
        <v>0.3520164</v>
      </c>
      <c r="S282" s="145">
        <v>0</v>
      </c>
      <c r="T282" s="146">
        <f>S282*H282</f>
        <v>0</v>
      </c>
      <c r="U282" s="31"/>
      <c r="V282" s="31"/>
      <c r="W282" s="31"/>
      <c r="X282" s="31"/>
      <c r="Y282" s="31"/>
      <c r="Z282" s="31"/>
      <c r="AA282" s="31"/>
      <c r="AB282" s="31"/>
      <c r="AC282" s="31"/>
      <c r="AD282" s="31"/>
      <c r="AE282" s="31"/>
      <c r="AR282" s="147" t="s">
        <v>218</v>
      </c>
      <c r="AT282" s="147" t="s">
        <v>147</v>
      </c>
      <c r="AU282" s="147" t="s">
        <v>85</v>
      </c>
      <c r="AY282" s="19" t="s">
        <v>144</v>
      </c>
      <c r="BE282" s="148">
        <f>IF(N282="základní",J282,0)</f>
        <v>0</v>
      </c>
      <c r="BF282" s="148">
        <f>IF(N282="snížená",J282,0)</f>
        <v>0</v>
      </c>
      <c r="BG282" s="148">
        <f>IF(N282="zákl. přenesená",J282,0)</f>
        <v>0</v>
      </c>
      <c r="BH282" s="148">
        <f>IF(N282="sníž. přenesená",J282,0)</f>
        <v>0</v>
      </c>
      <c r="BI282" s="148">
        <f>IF(N282="nulová",J282,0)</f>
        <v>0</v>
      </c>
      <c r="BJ282" s="19" t="s">
        <v>83</v>
      </c>
      <c r="BK282" s="148">
        <f>ROUND(I282*H282,2)</f>
        <v>0</v>
      </c>
      <c r="BL282" s="19" t="s">
        <v>218</v>
      </c>
      <c r="BM282" s="147" t="s">
        <v>373</v>
      </c>
    </row>
    <row r="283" spans="1:47" s="2" customFormat="1" ht="146.25">
      <c r="A283" s="31"/>
      <c r="B283" s="32"/>
      <c r="C283" s="31"/>
      <c r="D283" s="150" t="s">
        <v>158</v>
      </c>
      <c r="E283" s="31"/>
      <c r="F283" s="163" t="s">
        <v>374</v>
      </c>
      <c r="G283" s="31"/>
      <c r="H283" s="31"/>
      <c r="I283" s="31"/>
      <c r="J283" s="31"/>
      <c r="K283" s="31"/>
      <c r="L283" s="32"/>
      <c r="M283" s="164"/>
      <c r="N283" s="165"/>
      <c r="O283" s="52"/>
      <c r="P283" s="52"/>
      <c r="Q283" s="52"/>
      <c r="R283" s="52"/>
      <c r="S283" s="52"/>
      <c r="T283" s="53"/>
      <c r="U283" s="31"/>
      <c r="V283" s="31"/>
      <c r="W283" s="31"/>
      <c r="X283" s="31"/>
      <c r="Y283" s="31"/>
      <c r="Z283" s="31"/>
      <c r="AA283" s="31"/>
      <c r="AB283" s="31"/>
      <c r="AC283" s="31"/>
      <c r="AD283" s="31"/>
      <c r="AE283" s="31"/>
      <c r="AT283" s="19" t="s">
        <v>158</v>
      </c>
      <c r="AU283" s="19" t="s">
        <v>85</v>
      </c>
    </row>
    <row r="284" spans="1:47" s="2" customFormat="1" ht="19.5">
      <c r="A284" s="31"/>
      <c r="B284" s="32"/>
      <c r="C284" s="31"/>
      <c r="D284" s="150" t="s">
        <v>270</v>
      </c>
      <c r="E284" s="31"/>
      <c r="F284" s="163" t="s">
        <v>375</v>
      </c>
      <c r="G284" s="31"/>
      <c r="H284" s="31"/>
      <c r="I284" s="31"/>
      <c r="J284" s="31"/>
      <c r="K284" s="31"/>
      <c r="L284" s="32"/>
      <c r="M284" s="164"/>
      <c r="N284" s="165"/>
      <c r="O284" s="52"/>
      <c r="P284" s="52"/>
      <c r="Q284" s="52"/>
      <c r="R284" s="52"/>
      <c r="S284" s="52"/>
      <c r="T284" s="53"/>
      <c r="U284" s="31"/>
      <c r="V284" s="31"/>
      <c r="W284" s="31"/>
      <c r="X284" s="31"/>
      <c r="Y284" s="31"/>
      <c r="Z284" s="31"/>
      <c r="AA284" s="31"/>
      <c r="AB284" s="31"/>
      <c r="AC284" s="31"/>
      <c r="AD284" s="31"/>
      <c r="AE284" s="31"/>
      <c r="AT284" s="19" t="s">
        <v>270</v>
      </c>
      <c r="AU284" s="19" t="s">
        <v>85</v>
      </c>
    </row>
    <row r="285" spans="2:51" s="13" customFormat="1" ht="12">
      <c r="B285" s="149"/>
      <c r="D285" s="150" t="s">
        <v>154</v>
      </c>
      <c r="E285" s="151" t="s">
        <v>3</v>
      </c>
      <c r="F285" s="152" t="s">
        <v>155</v>
      </c>
      <c r="H285" s="151" t="s">
        <v>3</v>
      </c>
      <c r="L285" s="149"/>
      <c r="M285" s="153"/>
      <c r="N285" s="154"/>
      <c r="O285" s="154"/>
      <c r="P285" s="154"/>
      <c r="Q285" s="154"/>
      <c r="R285" s="154"/>
      <c r="S285" s="154"/>
      <c r="T285" s="155"/>
      <c r="AT285" s="151" t="s">
        <v>154</v>
      </c>
      <c r="AU285" s="151" t="s">
        <v>85</v>
      </c>
      <c r="AV285" s="13" t="s">
        <v>83</v>
      </c>
      <c r="AW285" s="13" t="s">
        <v>37</v>
      </c>
      <c r="AX285" s="13" t="s">
        <v>75</v>
      </c>
      <c r="AY285" s="151" t="s">
        <v>144</v>
      </c>
    </row>
    <row r="286" spans="2:51" s="13" customFormat="1" ht="12">
      <c r="B286" s="149"/>
      <c r="D286" s="150" t="s">
        <v>154</v>
      </c>
      <c r="E286" s="151" t="s">
        <v>3</v>
      </c>
      <c r="F286" s="152" t="s">
        <v>166</v>
      </c>
      <c r="H286" s="151" t="s">
        <v>3</v>
      </c>
      <c r="L286" s="149"/>
      <c r="M286" s="153"/>
      <c r="N286" s="154"/>
      <c r="O286" s="154"/>
      <c r="P286" s="154"/>
      <c r="Q286" s="154"/>
      <c r="R286" s="154"/>
      <c r="S286" s="154"/>
      <c r="T286" s="155"/>
      <c r="AT286" s="151" t="s">
        <v>154</v>
      </c>
      <c r="AU286" s="151" t="s">
        <v>85</v>
      </c>
      <c r="AV286" s="13" t="s">
        <v>83</v>
      </c>
      <c r="AW286" s="13" t="s">
        <v>37</v>
      </c>
      <c r="AX286" s="13" t="s">
        <v>75</v>
      </c>
      <c r="AY286" s="151" t="s">
        <v>144</v>
      </c>
    </row>
    <row r="287" spans="2:51" s="14" customFormat="1" ht="12">
      <c r="B287" s="156"/>
      <c r="D287" s="150" t="s">
        <v>154</v>
      </c>
      <c r="E287" s="157" t="s">
        <v>3</v>
      </c>
      <c r="F287" s="158" t="s">
        <v>1892</v>
      </c>
      <c r="H287" s="159">
        <f>5.07+5.07+1.36+5.17+1.22+1.32+3.14</f>
        <v>22.35</v>
      </c>
      <c r="L287" s="156"/>
      <c r="M287" s="160"/>
      <c r="N287" s="161"/>
      <c r="O287" s="161"/>
      <c r="P287" s="161"/>
      <c r="Q287" s="161"/>
      <c r="R287" s="161"/>
      <c r="S287" s="161"/>
      <c r="T287" s="162"/>
      <c r="AT287" s="157" t="s">
        <v>154</v>
      </c>
      <c r="AU287" s="157" t="s">
        <v>85</v>
      </c>
      <c r="AV287" s="14" t="s">
        <v>85</v>
      </c>
      <c r="AW287" s="14" t="s">
        <v>37</v>
      </c>
      <c r="AX287" s="14" t="s">
        <v>75</v>
      </c>
      <c r="AY287" s="157" t="s">
        <v>144</v>
      </c>
    </row>
    <row r="288" spans="2:51" s="13" customFormat="1" ht="12">
      <c r="B288" s="149"/>
      <c r="D288" s="150" t="s">
        <v>154</v>
      </c>
      <c r="E288" s="151" t="s">
        <v>3</v>
      </c>
      <c r="F288" s="152" t="s">
        <v>167</v>
      </c>
      <c r="H288" s="151" t="s">
        <v>3</v>
      </c>
      <c r="L288" s="149"/>
      <c r="M288" s="153"/>
      <c r="N288" s="154"/>
      <c r="O288" s="154"/>
      <c r="P288" s="154"/>
      <c r="Q288" s="154"/>
      <c r="R288" s="154"/>
      <c r="S288" s="154"/>
      <c r="T288" s="155"/>
      <c r="AT288" s="151" t="s">
        <v>154</v>
      </c>
      <c r="AU288" s="151" t="s">
        <v>85</v>
      </c>
      <c r="AV288" s="13" t="s">
        <v>83</v>
      </c>
      <c r="AW288" s="13" t="s">
        <v>37</v>
      </c>
      <c r="AX288" s="13" t="s">
        <v>75</v>
      </c>
      <c r="AY288" s="151" t="s">
        <v>144</v>
      </c>
    </row>
    <row r="289" spans="2:51" s="14" customFormat="1" ht="12">
      <c r="B289" s="156"/>
      <c r="D289" s="150" t="s">
        <v>154</v>
      </c>
      <c r="E289" s="157" t="s">
        <v>3</v>
      </c>
      <c r="F289" s="158" t="s">
        <v>1893</v>
      </c>
      <c r="H289" s="159">
        <f>2.84+2.77</f>
        <v>5.609999999999999</v>
      </c>
      <c r="L289" s="156"/>
      <c r="M289" s="160"/>
      <c r="N289" s="161"/>
      <c r="O289" s="161"/>
      <c r="P289" s="161"/>
      <c r="Q289" s="161"/>
      <c r="R289" s="161"/>
      <c r="S289" s="161"/>
      <c r="T289" s="162"/>
      <c r="AT289" s="157" t="s">
        <v>154</v>
      </c>
      <c r="AU289" s="157" t="s">
        <v>85</v>
      </c>
      <c r="AV289" s="14" t="s">
        <v>85</v>
      </c>
      <c r="AW289" s="14" t="s">
        <v>37</v>
      </c>
      <c r="AX289" s="14" t="s">
        <v>75</v>
      </c>
      <c r="AY289" s="157" t="s">
        <v>144</v>
      </c>
    </row>
    <row r="290" spans="2:51" s="15" customFormat="1" ht="12">
      <c r="B290" s="166"/>
      <c r="D290" s="150" t="s">
        <v>154</v>
      </c>
      <c r="E290" s="167" t="s">
        <v>3</v>
      </c>
      <c r="F290" s="168" t="s">
        <v>161</v>
      </c>
      <c r="H290" s="169">
        <f>H287+H289</f>
        <v>27.96</v>
      </c>
      <c r="L290" s="166"/>
      <c r="M290" s="170"/>
      <c r="N290" s="171"/>
      <c r="O290" s="171"/>
      <c r="P290" s="171"/>
      <c r="Q290" s="171"/>
      <c r="R290" s="171"/>
      <c r="S290" s="171"/>
      <c r="T290" s="172"/>
      <c r="AT290" s="167" t="s">
        <v>154</v>
      </c>
      <c r="AU290" s="167" t="s">
        <v>85</v>
      </c>
      <c r="AV290" s="15" t="s">
        <v>152</v>
      </c>
      <c r="AW290" s="15" t="s">
        <v>37</v>
      </c>
      <c r="AX290" s="15" t="s">
        <v>83</v>
      </c>
      <c r="AY290" s="167" t="s">
        <v>144</v>
      </c>
    </row>
    <row r="291" spans="1:65" s="2" customFormat="1" ht="24.2" customHeight="1">
      <c r="A291" s="31"/>
      <c r="B291" s="136"/>
      <c r="C291" s="137" t="s">
        <v>376</v>
      </c>
      <c r="D291" s="137" t="s">
        <v>147</v>
      </c>
      <c r="E291" s="138" t="s">
        <v>377</v>
      </c>
      <c r="F291" s="139" t="s">
        <v>378</v>
      </c>
      <c r="G291" s="140" t="s">
        <v>183</v>
      </c>
      <c r="H291" s="141">
        <f>H282</f>
        <v>27.96</v>
      </c>
      <c r="I291" s="142"/>
      <c r="J291" s="142">
        <f>ROUND(I291*H291,2)</f>
        <v>0</v>
      </c>
      <c r="K291" s="139" t="s">
        <v>157</v>
      </c>
      <c r="L291" s="32"/>
      <c r="M291" s="143" t="s">
        <v>3</v>
      </c>
      <c r="N291" s="144" t="s">
        <v>46</v>
      </c>
      <c r="O291" s="145">
        <v>0.12</v>
      </c>
      <c r="P291" s="145">
        <f>O291*H291</f>
        <v>3.3552</v>
      </c>
      <c r="Q291" s="145">
        <v>0.0007</v>
      </c>
      <c r="R291" s="145">
        <f>Q291*H291</f>
        <v>0.019572</v>
      </c>
      <c r="S291" s="145">
        <v>0</v>
      </c>
      <c r="T291" s="146">
        <f>S291*H291</f>
        <v>0</v>
      </c>
      <c r="U291" s="31"/>
      <c r="V291" s="31"/>
      <c r="W291" s="31"/>
      <c r="X291" s="31"/>
      <c r="Y291" s="31"/>
      <c r="Z291" s="31"/>
      <c r="AA291" s="31"/>
      <c r="AB291" s="31"/>
      <c r="AC291" s="31"/>
      <c r="AD291" s="31"/>
      <c r="AE291" s="31"/>
      <c r="AR291" s="147" t="s">
        <v>218</v>
      </c>
      <c r="AT291" s="147" t="s">
        <v>147</v>
      </c>
      <c r="AU291" s="147" t="s">
        <v>85</v>
      </c>
      <c r="AY291" s="19" t="s">
        <v>144</v>
      </c>
      <c r="BE291" s="148">
        <f>IF(N291="základní",J291,0)</f>
        <v>0</v>
      </c>
      <c r="BF291" s="148">
        <f>IF(N291="snížená",J291,0)</f>
        <v>0</v>
      </c>
      <c r="BG291" s="148">
        <f>IF(N291="zákl. přenesená",J291,0)</f>
        <v>0</v>
      </c>
      <c r="BH291" s="148">
        <f>IF(N291="sníž. přenesená",J291,0)</f>
        <v>0</v>
      </c>
      <c r="BI291" s="148">
        <f>IF(N291="nulová",J291,0)</f>
        <v>0</v>
      </c>
      <c r="BJ291" s="19" t="s">
        <v>83</v>
      </c>
      <c r="BK291" s="148">
        <f>ROUND(I291*H291,2)</f>
        <v>0</v>
      </c>
      <c r="BL291" s="19" t="s">
        <v>218</v>
      </c>
      <c r="BM291" s="147" t="s">
        <v>379</v>
      </c>
    </row>
    <row r="292" spans="1:47" s="2" customFormat="1" ht="146.25">
      <c r="A292" s="31"/>
      <c r="B292" s="32"/>
      <c r="C292" s="31"/>
      <c r="D292" s="150" t="s">
        <v>158</v>
      </c>
      <c r="E292" s="31"/>
      <c r="F292" s="163" t="s">
        <v>374</v>
      </c>
      <c r="G292" s="31"/>
      <c r="H292" s="31"/>
      <c r="I292" s="31"/>
      <c r="J292" s="31"/>
      <c r="K292" s="31"/>
      <c r="L292" s="32"/>
      <c r="M292" s="164"/>
      <c r="N292" s="165"/>
      <c r="O292" s="52"/>
      <c r="P292" s="52"/>
      <c r="Q292" s="52"/>
      <c r="R292" s="52"/>
      <c r="S292" s="52"/>
      <c r="T292" s="53"/>
      <c r="U292" s="31"/>
      <c r="V292" s="31"/>
      <c r="W292" s="31"/>
      <c r="X292" s="31"/>
      <c r="Y292" s="31"/>
      <c r="Z292" s="31"/>
      <c r="AA292" s="31"/>
      <c r="AB292" s="31"/>
      <c r="AC292" s="31"/>
      <c r="AD292" s="31"/>
      <c r="AE292" s="31"/>
      <c r="AT292" s="19" t="s">
        <v>158</v>
      </c>
      <c r="AU292" s="19" t="s">
        <v>85</v>
      </c>
    </row>
    <row r="293" spans="1:65" s="2" customFormat="1" ht="37.9" customHeight="1">
      <c r="A293" s="31"/>
      <c r="B293" s="136"/>
      <c r="C293" s="137" t="s">
        <v>380</v>
      </c>
      <c r="D293" s="137" t="s">
        <v>147</v>
      </c>
      <c r="E293" s="138" t="s">
        <v>381</v>
      </c>
      <c r="F293" s="139" t="s">
        <v>382</v>
      </c>
      <c r="G293" s="140" t="s">
        <v>183</v>
      </c>
      <c r="H293" s="141">
        <f>H282</f>
        <v>27.96</v>
      </c>
      <c r="I293" s="142"/>
      <c r="J293" s="142">
        <f>ROUND(I293*H293,2)</f>
        <v>0</v>
      </c>
      <c r="K293" s="139" t="s">
        <v>157</v>
      </c>
      <c r="L293" s="32"/>
      <c r="M293" s="143" t="s">
        <v>3</v>
      </c>
      <c r="N293" s="144" t="s">
        <v>46</v>
      </c>
      <c r="O293" s="145">
        <v>0.04</v>
      </c>
      <c r="P293" s="145">
        <f>O293*H293</f>
        <v>1.1184</v>
      </c>
      <c r="Q293" s="145">
        <v>0.0001</v>
      </c>
      <c r="R293" s="145">
        <f>Q293*H293</f>
        <v>0.0027960000000000003</v>
      </c>
      <c r="S293" s="145">
        <v>0</v>
      </c>
      <c r="T293" s="146">
        <f>S293*H293</f>
        <v>0</v>
      </c>
      <c r="U293" s="31"/>
      <c r="V293" s="31"/>
      <c r="W293" s="31"/>
      <c r="X293" s="31"/>
      <c r="Y293" s="31"/>
      <c r="Z293" s="31"/>
      <c r="AA293" s="31"/>
      <c r="AB293" s="31"/>
      <c r="AC293" s="31"/>
      <c r="AD293" s="31"/>
      <c r="AE293" s="31"/>
      <c r="AR293" s="147" t="s">
        <v>218</v>
      </c>
      <c r="AT293" s="147" t="s">
        <v>147</v>
      </c>
      <c r="AU293" s="147" t="s">
        <v>85</v>
      </c>
      <c r="AY293" s="19" t="s">
        <v>144</v>
      </c>
      <c r="BE293" s="148">
        <f>IF(N293="základní",J293,0)</f>
        <v>0</v>
      </c>
      <c r="BF293" s="148">
        <f>IF(N293="snížená",J293,0)</f>
        <v>0</v>
      </c>
      <c r="BG293" s="148">
        <f>IF(N293="zákl. přenesená",J293,0)</f>
        <v>0</v>
      </c>
      <c r="BH293" s="148">
        <f>IF(N293="sníž. přenesená",J293,0)</f>
        <v>0</v>
      </c>
      <c r="BI293" s="148">
        <f>IF(N293="nulová",J293,0)</f>
        <v>0</v>
      </c>
      <c r="BJ293" s="19" t="s">
        <v>83</v>
      </c>
      <c r="BK293" s="148">
        <f>ROUND(I293*H293,2)</f>
        <v>0</v>
      </c>
      <c r="BL293" s="19" t="s">
        <v>218</v>
      </c>
      <c r="BM293" s="147" t="s">
        <v>383</v>
      </c>
    </row>
    <row r="294" spans="1:47" s="2" customFormat="1" ht="146.25">
      <c r="A294" s="31"/>
      <c r="B294" s="32"/>
      <c r="C294" s="31"/>
      <c r="D294" s="150" t="s">
        <v>158</v>
      </c>
      <c r="E294" s="31"/>
      <c r="F294" s="163" t="s">
        <v>374</v>
      </c>
      <c r="G294" s="31"/>
      <c r="H294" s="31"/>
      <c r="I294" s="31"/>
      <c r="J294" s="31"/>
      <c r="K294" s="31"/>
      <c r="L294" s="32"/>
      <c r="M294" s="164"/>
      <c r="N294" s="165"/>
      <c r="O294" s="52"/>
      <c r="P294" s="52"/>
      <c r="Q294" s="52"/>
      <c r="R294" s="52"/>
      <c r="S294" s="52"/>
      <c r="T294" s="53"/>
      <c r="U294" s="31"/>
      <c r="V294" s="31"/>
      <c r="W294" s="31"/>
      <c r="X294" s="31"/>
      <c r="Y294" s="31"/>
      <c r="Z294" s="31"/>
      <c r="AA294" s="31"/>
      <c r="AB294" s="31"/>
      <c r="AC294" s="31"/>
      <c r="AD294" s="31"/>
      <c r="AE294" s="31"/>
      <c r="AT294" s="19" t="s">
        <v>158</v>
      </c>
      <c r="AU294" s="19" t="s">
        <v>85</v>
      </c>
    </row>
    <row r="295" spans="1:65" s="2" customFormat="1" ht="37.9" customHeight="1">
      <c r="A295" s="31"/>
      <c r="B295" s="136"/>
      <c r="C295" s="137" t="s">
        <v>384</v>
      </c>
      <c r="D295" s="137" t="s">
        <v>147</v>
      </c>
      <c r="E295" s="138" t="s">
        <v>385</v>
      </c>
      <c r="F295" s="139" t="s">
        <v>386</v>
      </c>
      <c r="G295" s="140" t="s">
        <v>387</v>
      </c>
      <c r="H295" s="141">
        <f>SUM(J282:J294)/100</f>
        <v>0</v>
      </c>
      <c r="I295" s="142"/>
      <c r="J295" s="142">
        <f>ROUND(I295*H295,2)</f>
        <v>0</v>
      </c>
      <c r="K295" s="139" t="s">
        <v>157</v>
      </c>
      <c r="L295" s="32"/>
      <c r="M295" s="143" t="s">
        <v>3</v>
      </c>
      <c r="N295" s="144" t="s">
        <v>46</v>
      </c>
      <c r="O295" s="145">
        <v>0</v>
      </c>
      <c r="P295" s="145">
        <f>O295*H295</f>
        <v>0</v>
      </c>
      <c r="Q295" s="145">
        <v>0</v>
      </c>
      <c r="R295" s="145">
        <f>Q295*H295</f>
        <v>0</v>
      </c>
      <c r="S295" s="145">
        <v>0</v>
      </c>
      <c r="T295" s="146">
        <f>S295*H295</f>
        <v>0</v>
      </c>
      <c r="U295" s="31"/>
      <c r="V295" s="31"/>
      <c r="W295" s="31"/>
      <c r="X295" s="31"/>
      <c r="Y295" s="31"/>
      <c r="Z295" s="31"/>
      <c r="AA295" s="31"/>
      <c r="AB295" s="31"/>
      <c r="AC295" s="31"/>
      <c r="AD295" s="31"/>
      <c r="AE295" s="31"/>
      <c r="AR295" s="147" t="s">
        <v>218</v>
      </c>
      <c r="AT295" s="147" t="s">
        <v>147</v>
      </c>
      <c r="AU295" s="147" t="s">
        <v>85</v>
      </c>
      <c r="AY295" s="19" t="s">
        <v>144</v>
      </c>
      <c r="BE295" s="148">
        <f>IF(N295="základní",J295,0)</f>
        <v>0</v>
      </c>
      <c r="BF295" s="148">
        <f>IF(N295="snížená",J295,0)</f>
        <v>0</v>
      </c>
      <c r="BG295" s="148">
        <f>IF(N295="zákl. přenesená",J295,0)</f>
        <v>0</v>
      </c>
      <c r="BH295" s="148">
        <f>IF(N295="sníž. přenesená",J295,0)</f>
        <v>0</v>
      </c>
      <c r="BI295" s="148">
        <f>IF(N295="nulová",J295,0)</f>
        <v>0</v>
      </c>
      <c r="BJ295" s="19" t="s">
        <v>83</v>
      </c>
      <c r="BK295" s="148">
        <f>ROUND(I295*H295,2)</f>
        <v>0</v>
      </c>
      <c r="BL295" s="19" t="s">
        <v>218</v>
      </c>
      <c r="BM295" s="147" t="s">
        <v>388</v>
      </c>
    </row>
    <row r="296" spans="1:47" s="2" customFormat="1" ht="146.25">
      <c r="A296" s="31"/>
      <c r="B296" s="32"/>
      <c r="C296" s="31"/>
      <c r="D296" s="150" t="s">
        <v>158</v>
      </c>
      <c r="E296" s="31"/>
      <c r="F296" s="163" t="s">
        <v>389</v>
      </c>
      <c r="G296" s="31"/>
      <c r="H296" s="31"/>
      <c r="I296" s="31"/>
      <c r="J296" s="31"/>
      <c r="K296" s="31"/>
      <c r="L296" s="32"/>
      <c r="M296" s="164"/>
      <c r="N296" s="165"/>
      <c r="O296" s="52"/>
      <c r="P296" s="52"/>
      <c r="Q296" s="52"/>
      <c r="R296" s="52"/>
      <c r="S296" s="52"/>
      <c r="T296" s="53"/>
      <c r="U296" s="31"/>
      <c r="V296" s="31"/>
      <c r="W296" s="31"/>
      <c r="X296" s="31"/>
      <c r="Y296" s="31"/>
      <c r="Z296" s="31"/>
      <c r="AA296" s="31"/>
      <c r="AB296" s="31"/>
      <c r="AC296" s="31"/>
      <c r="AD296" s="31"/>
      <c r="AE296" s="31"/>
      <c r="AT296" s="19" t="s">
        <v>158</v>
      </c>
      <c r="AU296" s="19" t="s">
        <v>85</v>
      </c>
    </row>
    <row r="297" spans="1:65" s="2" customFormat="1" ht="49.15" customHeight="1">
      <c r="A297" s="31"/>
      <c r="B297" s="136"/>
      <c r="C297" s="137" t="s">
        <v>390</v>
      </c>
      <c r="D297" s="137" t="s">
        <v>147</v>
      </c>
      <c r="E297" s="138" t="s">
        <v>391</v>
      </c>
      <c r="F297" s="139" t="s">
        <v>392</v>
      </c>
      <c r="G297" s="140" t="s">
        <v>387</v>
      </c>
      <c r="H297" s="141">
        <f>H295</f>
        <v>0</v>
      </c>
      <c r="I297" s="142"/>
      <c r="J297" s="142">
        <f>ROUND(I297*H297,2)</f>
        <v>0</v>
      </c>
      <c r="K297" s="139" t="s">
        <v>157</v>
      </c>
      <c r="L297" s="32"/>
      <c r="M297" s="143" t="s">
        <v>3</v>
      </c>
      <c r="N297" s="144" t="s">
        <v>46</v>
      </c>
      <c r="O297" s="145">
        <v>0</v>
      </c>
      <c r="P297" s="145">
        <f>O297*H297</f>
        <v>0</v>
      </c>
      <c r="Q297" s="145">
        <v>0</v>
      </c>
      <c r="R297" s="145">
        <f>Q297*H297</f>
        <v>0</v>
      </c>
      <c r="S297" s="145">
        <v>0</v>
      </c>
      <c r="T297" s="146">
        <f>S297*H297</f>
        <v>0</v>
      </c>
      <c r="U297" s="31"/>
      <c r="V297" s="31"/>
      <c r="W297" s="31"/>
      <c r="X297" s="31"/>
      <c r="Y297" s="31"/>
      <c r="Z297" s="31"/>
      <c r="AA297" s="31"/>
      <c r="AB297" s="31"/>
      <c r="AC297" s="31"/>
      <c r="AD297" s="31"/>
      <c r="AE297" s="31"/>
      <c r="AR297" s="147" t="s">
        <v>218</v>
      </c>
      <c r="AT297" s="147" t="s">
        <v>147</v>
      </c>
      <c r="AU297" s="147" t="s">
        <v>85</v>
      </c>
      <c r="AY297" s="19" t="s">
        <v>144</v>
      </c>
      <c r="BE297" s="148">
        <f>IF(N297="základní",J297,0)</f>
        <v>0</v>
      </c>
      <c r="BF297" s="148">
        <f>IF(N297="snížená",J297,0)</f>
        <v>0</v>
      </c>
      <c r="BG297" s="148">
        <f>IF(N297="zákl. přenesená",J297,0)</f>
        <v>0</v>
      </c>
      <c r="BH297" s="148">
        <f>IF(N297="sníž. přenesená",J297,0)</f>
        <v>0</v>
      </c>
      <c r="BI297" s="148">
        <f>IF(N297="nulová",J297,0)</f>
        <v>0</v>
      </c>
      <c r="BJ297" s="19" t="s">
        <v>83</v>
      </c>
      <c r="BK297" s="148">
        <f>ROUND(I297*H297,2)</f>
        <v>0</v>
      </c>
      <c r="BL297" s="19" t="s">
        <v>218</v>
      </c>
      <c r="BM297" s="147" t="s">
        <v>393</v>
      </c>
    </row>
    <row r="298" spans="1:47" s="2" customFormat="1" ht="146.25">
      <c r="A298" s="31"/>
      <c r="B298" s="32"/>
      <c r="C298" s="31"/>
      <c r="D298" s="150" t="s">
        <v>158</v>
      </c>
      <c r="E298" s="31"/>
      <c r="F298" s="163" t="s">
        <v>389</v>
      </c>
      <c r="G298" s="31"/>
      <c r="H298" s="31"/>
      <c r="I298" s="31"/>
      <c r="J298" s="31"/>
      <c r="K298" s="31"/>
      <c r="L298" s="32"/>
      <c r="M298" s="164"/>
      <c r="N298" s="165"/>
      <c r="O298" s="52"/>
      <c r="P298" s="52"/>
      <c r="Q298" s="52"/>
      <c r="R298" s="52"/>
      <c r="S298" s="52"/>
      <c r="T298" s="53"/>
      <c r="U298" s="31"/>
      <c r="V298" s="31"/>
      <c r="W298" s="31"/>
      <c r="X298" s="31"/>
      <c r="Y298" s="31"/>
      <c r="Z298" s="31"/>
      <c r="AA298" s="31"/>
      <c r="AB298" s="31"/>
      <c r="AC298" s="31"/>
      <c r="AD298" s="31"/>
      <c r="AE298" s="31"/>
      <c r="AT298" s="19" t="s">
        <v>158</v>
      </c>
      <c r="AU298" s="19" t="s">
        <v>85</v>
      </c>
    </row>
    <row r="299" spans="2:63" s="12" customFormat="1" ht="22.9" customHeight="1">
      <c r="B299" s="124"/>
      <c r="D299" s="125" t="s">
        <v>74</v>
      </c>
      <c r="E299" s="134" t="s">
        <v>394</v>
      </c>
      <c r="F299" s="134" t="s">
        <v>395</v>
      </c>
      <c r="J299" s="135">
        <f>BK299</f>
        <v>0</v>
      </c>
      <c r="L299" s="124"/>
      <c r="M299" s="128"/>
      <c r="N299" s="129"/>
      <c r="O299" s="129"/>
      <c r="P299" s="130">
        <f>SUM(P300:P308)</f>
        <v>7.259849999999999</v>
      </c>
      <c r="Q299" s="129"/>
      <c r="R299" s="130">
        <f>SUM(R300:R308)</f>
        <v>0</v>
      </c>
      <c r="S299" s="129"/>
      <c r="T299" s="131">
        <f>SUM(T300:T308)</f>
        <v>0.062174099999999996</v>
      </c>
      <c r="AR299" s="125" t="s">
        <v>85</v>
      </c>
      <c r="AT299" s="132" t="s">
        <v>74</v>
      </c>
      <c r="AU299" s="132" t="s">
        <v>83</v>
      </c>
      <c r="AY299" s="125" t="s">
        <v>144</v>
      </c>
      <c r="BK299" s="133">
        <f>SUM(BK300:BK308)</f>
        <v>0</v>
      </c>
    </row>
    <row r="300" spans="1:65" s="2" customFormat="1" ht="24.2" customHeight="1">
      <c r="A300" s="31"/>
      <c r="B300" s="136"/>
      <c r="C300" s="137" t="s">
        <v>396</v>
      </c>
      <c r="D300" s="137" t="s">
        <v>147</v>
      </c>
      <c r="E300" s="138" t="s">
        <v>397</v>
      </c>
      <c r="F300" s="139" t="s">
        <v>398</v>
      </c>
      <c r="G300" s="140" t="s">
        <v>201</v>
      </c>
      <c r="H300" s="141">
        <v>37.23</v>
      </c>
      <c r="I300" s="142"/>
      <c r="J300" s="142">
        <f>ROUND(I300*H300,2)</f>
        <v>0</v>
      </c>
      <c r="K300" s="139" t="s">
        <v>157</v>
      </c>
      <c r="L300" s="32"/>
      <c r="M300" s="143" t="s">
        <v>3</v>
      </c>
      <c r="N300" s="144" t="s">
        <v>46</v>
      </c>
      <c r="O300" s="145">
        <v>0.195</v>
      </c>
      <c r="P300" s="145">
        <f>O300*H300</f>
        <v>7.259849999999999</v>
      </c>
      <c r="Q300" s="145">
        <v>0</v>
      </c>
      <c r="R300" s="145">
        <f>Q300*H300</f>
        <v>0</v>
      </c>
      <c r="S300" s="145">
        <v>0.00167</v>
      </c>
      <c r="T300" s="146">
        <f>S300*H300</f>
        <v>0.062174099999999996</v>
      </c>
      <c r="U300" s="31"/>
      <c r="V300" s="31"/>
      <c r="W300" s="31"/>
      <c r="X300" s="31"/>
      <c r="Y300" s="31"/>
      <c r="Z300" s="31"/>
      <c r="AA300" s="31"/>
      <c r="AB300" s="31"/>
      <c r="AC300" s="31"/>
      <c r="AD300" s="31"/>
      <c r="AE300" s="31"/>
      <c r="AR300" s="147" t="s">
        <v>218</v>
      </c>
      <c r="AT300" s="147" t="s">
        <v>147</v>
      </c>
      <c r="AU300" s="147" t="s">
        <v>85</v>
      </c>
      <c r="AY300" s="19" t="s">
        <v>144</v>
      </c>
      <c r="BE300" s="148">
        <f>IF(N300="základní",J300,0)</f>
        <v>0</v>
      </c>
      <c r="BF300" s="148">
        <f>IF(N300="snížená",J300,0)</f>
        <v>0</v>
      </c>
      <c r="BG300" s="148">
        <f>IF(N300="zákl. přenesená",J300,0)</f>
        <v>0</v>
      </c>
      <c r="BH300" s="148">
        <f>IF(N300="sníž. přenesená",J300,0)</f>
        <v>0</v>
      </c>
      <c r="BI300" s="148">
        <f>IF(N300="nulová",J300,0)</f>
        <v>0</v>
      </c>
      <c r="BJ300" s="19" t="s">
        <v>83</v>
      </c>
      <c r="BK300" s="148">
        <f>ROUND(I300*H300,2)</f>
        <v>0</v>
      </c>
      <c r="BL300" s="19" t="s">
        <v>218</v>
      </c>
      <c r="BM300" s="147" t="s">
        <v>399</v>
      </c>
    </row>
    <row r="301" spans="2:51" s="13" customFormat="1" ht="22.5">
      <c r="B301" s="149"/>
      <c r="D301" s="150" t="s">
        <v>154</v>
      </c>
      <c r="E301" s="151" t="s">
        <v>3</v>
      </c>
      <c r="F301" s="152" t="s">
        <v>232</v>
      </c>
      <c r="H301" s="151" t="s">
        <v>3</v>
      </c>
      <c r="L301" s="149"/>
      <c r="M301" s="153"/>
      <c r="N301" s="154"/>
      <c r="O301" s="154"/>
      <c r="P301" s="154"/>
      <c r="Q301" s="154"/>
      <c r="R301" s="154"/>
      <c r="S301" s="154"/>
      <c r="T301" s="155"/>
      <c r="AT301" s="151" t="s">
        <v>154</v>
      </c>
      <c r="AU301" s="151" t="s">
        <v>85</v>
      </c>
      <c r="AV301" s="13" t="s">
        <v>83</v>
      </c>
      <c r="AW301" s="13" t="s">
        <v>37</v>
      </c>
      <c r="AX301" s="13" t="s">
        <v>75</v>
      </c>
      <c r="AY301" s="151" t="s">
        <v>144</v>
      </c>
    </row>
    <row r="302" spans="2:51" s="13" customFormat="1" ht="12">
      <c r="B302" s="149"/>
      <c r="D302" s="150" t="s">
        <v>154</v>
      </c>
      <c r="E302" s="151" t="s">
        <v>3</v>
      </c>
      <c r="F302" s="152" t="s">
        <v>166</v>
      </c>
      <c r="H302" s="151" t="s">
        <v>3</v>
      </c>
      <c r="L302" s="149"/>
      <c r="M302" s="153"/>
      <c r="N302" s="154"/>
      <c r="O302" s="154"/>
      <c r="P302" s="154"/>
      <c r="Q302" s="154"/>
      <c r="R302" s="154"/>
      <c r="S302" s="154"/>
      <c r="T302" s="155"/>
      <c r="AT302" s="151" t="s">
        <v>154</v>
      </c>
      <c r="AU302" s="151" t="s">
        <v>85</v>
      </c>
      <c r="AV302" s="13" t="s">
        <v>83</v>
      </c>
      <c r="AW302" s="13" t="s">
        <v>37</v>
      </c>
      <c r="AX302" s="13" t="s">
        <v>75</v>
      </c>
      <c r="AY302" s="151" t="s">
        <v>144</v>
      </c>
    </row>
    <row r="303" spans="2:51" s="14" customFormat="1" ht="12">
      <c r="B303" s="156"/>
      <c r="D303" s="150" t="s">
        <v>154</v>
      </c>
      <c r="E303" s="157" t="s">
        <v>3</v>
      </c>
      <c r="F303" s="158" t="s">
        <v>400</v>
      </c>
      <c r="H303" s="159">
        <v>14.4</v>
      </c>
      <c r="L303" s="156"/>
      <c r="M303" s="160"/>
      <c r="N303" s="161"/>
      <c r="O303" s="161"/>
      <c r="P303" s="161"/>
      <c r="Q303" s="161"/>
      <c r="R303" s="161"/>
      <c r="S303" s="161"/>
      <c r="T303" s="162"/>
      <c r="AT303" s="157" t="s">
        <v>154</v>
      </c>
      <c r="AU303" s="157" t="s">
        <v>85</v>
      </c>
      <c r="AV303" s="14" t="s">
        <v>85</v>
      </c>
      <c r="AW303" s="14" t="s">
        <v>37</v>
      </c>
      <c r="AX303" s="14" t="s">
        <v>75</v>
      </c>
      <c r="AY303" s="157" t="s">
        <v>144</v>
      </c>
    </row>
    <row r="304" spans="2:51" s="14" customFormat="1" ht="12">
      <c r="B304" s="156"/>
      <c r="D304" s="150" t="s">
        <v>154</v>
      </c>
      <c r="E304" s="157" t="s">
        <v>3</v>
      </c>
      <c r="F304" s="158" t="s">
        <v>401</v>
      </c>
      <c r="H304" s="159">
        <v>1.53</v>
      </c>
      <c r="L304" s="156"/>
      <c r="M304" s="160"/>
      <c r="N304" s="161"/>
      <c r="O304" s="161"/>
      <c r="P304" s="161"/>
      <c r="Q304" s="161"/>
      <c r="R304" s="161"/>
      <c r="S304" s="161"/>
      <c r="T304" s="162"/>
      <c r="AT304" s="157" t="s">
        <v>154</v>
      </c>
      <c r="AU304" s="157" t="s">
        <v>85</v>
      </c>
      <c r="AV304" s="14" t="s">
        <v>85</v>
      </c>
      <c r="AW304" s="14" t="s">
        <v>37</v>
      </c>
      <c r="AX304" s="14" t="s">
        <v>75</v>
      </c>
      <c r="AY304" s="157" t="s">
        <v>144</v>
      </c>
    </row>
    <row r="305" spans="2:51" s="13" customFormat="1" ht="12">
      <c r="B305" s="149"/>
      <c r="D305" s="150" t="s">
        <v>154</v>
      </c>
      <c r="E305" s="151" t="s">
        <v>3</v>
      </c>
      <c r="F305" s="152" t="s">
        <v>167</v>
      </c>
      <c r="H305" s="151" t="s">
        <v>3</v>
      </c>
      <c r="L305" s="149"/>
      <c r="M305" s="153"/>
      <c r="N305" s="154"/>
      <c r="O305" s="154"/>
      <c r="P305" s="154"/>
      <c r="Q305" s="154"/>
      <c r="R305" s="154"/>
      <c r="S305" s="154"/>
      <c r="T305" s="155"/>
      <c r="AT305" s="151" t="s">
        <v>154</v>
      </c>
      <c r="AU305" s="151" t="s">
        <v>85</v>
      </c>
      <c r="AV305" s="13" t="s">
        <v>83</v>
      </c>
      <c r="AW305" s="13" t="s">
        <v>37</v>
      </c>
      <c r="AX305" s="13" t="s">
        <v>75</v>
      </c>
      <c r="AY305" s="151" t="s">
        <v>144</v>
      </c>
    </row>
    <row r="306" spans="2:51" s="14" customFormat="1" ht="12">
      <c r="B306" s="156"/>
      <c r="D306" s="150" t="s">
        <v>154</v>
      </c>
      <c r="E306" s="157" t="s">
        <v>3</v>
      </c>
      <c r="F306" s="158" t="s">
        <v>402</v>
      </c>
      <c r="H306" s="159">
        <v>18.9</v>
      </c>
      <c r="L306" s="156"/>
      <c r="M306" s="160"/>
      <c r="N306" s="161"/>
      <c r="O306" s="161"/>
      <c r="P306" s="161"/>
      <c r="Q306" s="161"/>
      <c r="R306" s="161"/>
      <c r="S306" s="161"/>
      <c r="T306" s="162"/>
      <c r="AT306" s="157" t="s">
        <v>154</v>
      </c>
      <c r="AU306" s="157" t="s">
        <v>85</v>
      </c>
      <c r="AV306" s="14" t="s">
        <v>85</v>
      </c>
      <c r="AW306" s="14" t="s">
        <v>37</v>
      </c>
      <c r="AX306" s="14" t="s">
        <v>75</v>
      </c>
      <c r="AY306" s="157" t="s">
        <v>144</v>
      </c>
    </row>
    <row r="307" spans="2:51" s="14" customFormat="1" ht="12">
      <c r="B307" s="156"/>
      <c r="D307" s="150" t="s">
        <v>154</v>
      </c>
      <c r="E307" s="157" t="s">
        <v>3</v>
      </c>
      <c r="F307" s="158" t="s">
        <v>403</v>
      </c>
      <c r="H307" s="159">
        <v>2.4</v>
      </c>
      <c r="L307" s="156"/>
      <c r="M307" s="160"/>
      <c r="N307" s="161"/>
      <c r="O307" s="161"/>
      <c r="P307" s="161"/>
      <c r="Q307" s="161"/>
      <c r="R307" s="161"/>
      <c r="S307" s="161"/>
      <c r="T307" s="162"/>
      <c r="AT307" s="157" t="s">
        <v>154</v>
      </c>
      <c r="AU307" s="157" t="s">
        <v>85</v>
      </c>
      <c r="AV307" s="14" t="s">
        <v>85</v>
      </c>
      <c r="AW307" s="14" t="s">
        <v>37</v>
      </c>
      <c r="AX307" s="14" t="s">
        <v>75</v>
      </c>
      <c r="AY307" s="157" t="s">
        <v>144</v>
      </c>
    </row>
    <row r="308" spans="2:51" s="15" customFormat="1" ht="12">
      <c r="B308" s="166"/>
      <c r="D308" s="150" t="s">
        <v>154</v>
      </c>
      <c r="E308" s="167" t="s">
        <v>3</v>
      </c>
      <c r="F308" s="168" t="s">
        <v>161</v>
      </c>
      <c r="H308" s="169">
        <v>37.23</v>
      </c>
      <c r="L308" s="166"/>
      <c r="M308" s="170"/>
      <c r="N308" s="171"/>
      <c r="O308" s="171"/>
      <c r="P308" s="171"/>
      <c r="Q308" s="171"/>
      <c r="R308" s="171"/>
      <c r="S308" s="171"/>
      <c r="T308" s="172"/>
      <c r="AT308" s="167" t="s">
        <v>154</v>
      </c>
      <c r="AU308" s="167" t="s">
        <v>85</v>
      </c>
      <c r="AV308" s="15" t="s">
        <v>152</v>
      </c>
      <c r="AW308" s="15" t="s">
        <v>37</v>
      </c>
      <c r="AX308" s="15" t="s">
        <v>83</v>
      </c>
      <c r="AY308" s="167" t="s">
        <v>144</v>
      </c>
    </row>
    <row r="309" spans="2:63" s="12" customFormat="1" ht="22.9" customHeight="1">
      <c r="B309" s="124"/>
      <c r="D309" s="125" t="s">
        <v>74</v>
      </c>
      <c r="E309" s="134" t="s">
        <v>404</v>
      </c>
      <c r="F309" s="134" t="s">
        <v>405</v>
      </c>
      <c r="J309" s="135">
        <f>BK309</f>
        <v>0</v>
      </c>
      <c r="L309" s="124"/>
      <c r="M309" s="128"/>
      <c r="N309" s="129"/>
      <c r="O309" s="129"/>
      <c r="P309" s="130">
        <f>SUM(P310:P438)</f>
        <v>168.39651</v>
      </c>
      <c r="Q309" s="129"/>
      <c r="R309" s="130">
        <f>SUM(R310:R438)</f>
        <v>0.016954999999999998</v>
      </c>
      <c r="S309" s="129"/>
      <c r="T309" s="131">
        <f>SUM(T310:T438)</f>
        <v>0.16</v>
      </c>
      <c r="AR309" s="125" t="s">
        <v>85</v>
      </c>
      <c r="AT309" s="132" t="s">
        <v>74</v>
      </c>
      <c r="AU309" s="132" t="s">
        <v>83</v>
      </c>
      <c r="AY309" s="125" t="s">
        <v>144</v>
      </c>
      <c r="BK309" s="133">
        <f>SUM(BK310:BK438)</f>
        <v>0</v>
      </c>
    </row>
    <row r="310" spans="1:65" s="2" customFormat="1" ht="24.2" customHeight="1">
      <c r="A310" s="31"/>
      <c r="B310" s="136"/>
      <c r="C310" s="137" t="s">
        <v>406</v>
      </c>
      <c r="D310" s="137" t="s">
        <v>147</v>
      </c>
      <c r="E310" s="138" t="s">
        <v>407</v>
      </c>
      <c r="F310" s="139" t="s">
        <v>408</v>
      </c>
      <c r="G310" s="140" t="s">
        <v>156</v>
      </c>
      <c r="H310" s="141">
        <v>37</v>
      </c>
      <c r="I310" s="142"/>
      <c r="J310" s="142">
        <f>ROUND(I310*H310,2)</f>
        <v>0</v>
      </c>
      <c r="K310" s="139" t="s">
        <v>157</v>
      </c>
      <c r="L310" s="32"/>
      <c r="M310" s="143" t="s">
        <v>3</v>
      </c>
      <c r="N310" s="144" t="s">
        <v>46</v>
      </c>
      <c r="O310" s="145">
        <v>0.099</v>
      </c>
      <c r="P310" s="145">
        <f>O310*H310</f>
        <v>3.6630000000000003</v>
      </c>
      <c r="Q310" s="145">
        <v>0</v>
      </c>
      <c r="R310" s="145">
        <f>Q310*H310</f>
        <v>0</v>
      </c>
      <c r="S310" s="145">
        <v>0.004</v>
      </c>
      <c r="T310" s="146">
        <f>S310*H310</f>
        <v>0.148</v>
      </c>
      <c r="U310" s="31"/>
      <c r="V310" s="31"/>
      <c r="W310" s="31"/>
      <c r="X310" s="31"/>
      <c r="Y310" s="31"/>
      <c r="Z310" s="31"/>
      <c r="AA310" s="31"/>
      <c r="AB310" s="31"/>
      <c r="AC310" s="31"/>
      <c r="AD310" s="31"/>
      <c r="AE310" s="31"/>
      <c r="AR310" s="147" t="s">
        <v>218</v>
      </c>
      <c r="AT310" s="147" t="s">
        <v>147</v>
      </c>
      <c r="AU310" s="147" t="s">
        <v>85</v>
      </c>
      <c r="AY310" s="19" t="s">
        <v>144</v>
      </c>
      <c r="BE310" s="148">
        <f>IF(N310="základní",J310,0)</f>
        <v>0</v>
      </c>
      <c r="BF310" s="148">
        <f>IF(N310="snížená",J310,0)</f>
        <v>0</v>
      </c>
      <c r="BG310" s="148">
        <f>IF(N310="zákl. přenesená",J310,0)</f>
        <v>0</v>
      </c>
      <c r="BH310" s="148">
        <f>IF(N310="sníž. přenesená",J310,0)</f>
        <v>0</v>
      </c>
      <c r="BI310" s="148">
        <f>IF(N310="nulová",J310,0)</f>
        <v>0</v>
      </c>
      <c r="BJ310" s="19" t="s">
        <v>83</v>
      </c>
      <c r="BK310" s="148">
        <f>ROUND(I310*H310,2)</f>
        <v>0</v>
      </c>
      <c r="BL310" s="19" t="s">
        <v>218</v>
      </c>
      <c r="BM310" s="147" t="s">
        <v>409</v>
      </c>
    </row>
    <row r="311" spans="2:51" s="13" customFormat="1" ht="22.5">
      <c r="B311" s="149"/>
      <c r="D311" s="150" t="s">
        <v>154</v>
      </c>
      <c r="E311" s="151" t="s">
        <v>3</v>
      </c>
      <c r="F311" s="152" t="s">
        <v>232</v>
      </c>
      <c r="H311" s="151" t="s">
        <v>3</v>
      </c>
      <c r="L311" s="149"/>
      <c r="M311" s="153"/>
      <c r="N311" s="154"/>
      <c r="O311" s="154"/>
      <c r="P311" s="154"/>
      <c r="Q311" s="154"/>
      <c r="R311" s="154"/>
      <c r="S311" s="154"/>
      <c r="T311" s="155"/>
      <c r="AT311" s="151" t="s">
        <v>154</v>
      </c>
      <c r="AU311" s="151" t="s">
        <v>85</v>
      </c>
      <c r="AV311" s="13" t="s">
        <v>83</v>
      </c>
      <c r="AW311" s="13" t="s">
        <v>37</v>
      </c>
      <c r="AX311" s="13" t="s">
        <v>75</v>
      </c>
      <c r="AY311" s="151" t="s">
        <v>144</v>
      </c>
    </row>
    <row r="312" spans="2:51" s="13" customFormat="1" ht="12">
      <c r="B312" s="149"/>
      <c r="D312" s="150" t="s">
        <v>154</v>
      </c>
      <c r="E312" s="151" t="s">
        <v>3</v>
      </c>
      <c r="F312" s="152" t="s">
        <v>166</v>
      </c>
      <c r="H312" s="151" t="s">
        <v>3</v>
      </c>
      <c r="L312" s="149"/>
      <c r="M312" s="153"/>
      <c r="N312" s="154"/>
      <c r="O312" s="154"/>
      <c r="P312" s="154"/>
      <c r="Q312" s="154"/>
      <c r="R312" s="154"/>
      <c r="S312" s="154"/>
      <c r="T312" s="155"/>
      <c r="AT312" s="151" t="s">
        <v>154</v>
      </c>
      <c r="AU312" s="151" t="s">
        <v>85</v>
      </c>
      <c r="AV312" s="13" t="s">
        <v>83</v>
      </c>
      <c r="AW312" s="13" t="s">
        <v>37</v>
      </c>
      <c r="AX312" s="13" t="s">
        <v>75</v>
      </c>
      <c r="AY312" s="151" t="s">
        <v>144</v>
      </c>
    </row>
    <row r="313" spans="2:51" s="14" customFormat="1" ht="12">
      <c r="B313" s="156"/>
      <c r="D313" s="150" t="s">
        <v>154</v>
      </c>
      <c r="E313" s="157" t="s">
        <v>3</v>
      </c>
      <c r="F313" s="158" t="s">
        <v>410</v>
      </c>
      <c r="H313" s="159">
        <v>16</v>
      </c>
      <c r="L313" s="156"/>
      <c r="M313" s="160"/>
      <c r="N313" s="161"/>
      <c r="O313" s="161"/>
      <c r="P313" s="161"/>
      <c r="Q313" s="161"/>
      <c r="R313" s="161"/>
      <c r="S313" s="161"/>
      <c r="T313" s="162"/>
      <c r="AT313" s="157" t="s">
        <v>154</v>
      </c>
      <c r="AU313" s="157" t="s">
        <v>85</v>
      </c>
      <c r="AV313" s="14" t="s">
        <v>85</v>
      </c>
      <c r="AW313" s="14" t="s">
        <v>37</v>
      </c>
      <c r="AX313" s="14" t="s">
        <v>75</v>
      </c>
      <c r="AY313" s="157" t="s">
        <v>144</v>
      </c>
    </row>
    <row r="314" spans="2:51" s="13" customFormat="1" ht="12">
      <c r="B314" s="149"/>
      <c r="D314" s="150" t="s">
        <v>154</v>
      </c>
      <c r="E314" s="151" t="s">
        <v>3</v>
      </c>
      <c r="F314" s="152" t="s">
        <v>167</v>
      </c>
      <c r="H314" s="151" t="s">
        <v>3</v>
      </c>
      <c r="L314" s="149"/>
      <c r="M314" s="153"/>
      <c r="N314" s="154"/>
      <c r="O314" s="154"/>
      <c r="P314" s="154"/>
      <c r="Q314" s="154"/>
      <c r="R314" s="154"/>
      <c r="S314" s="154"/>
      <c r="T314" s="155"/>
      <c r="AT314" s="151" t="s">
        <v>154</v>
      </c>
      <c r="AU314" s="151" t="s">
        <v>85</v>
      </c>
      <c r="AV314" s="13" t="s">
        <v>83</v>
      </c>
      <c r="AW314" s="13" t="s">
        <v>37</v>
      </c>
      <c r="AX314" s="13" t="s">
        <v>75</v>
      </c>
      <c r="AY314" s="151" t="s">
        <v>144</v>
      </c>
    </row>
    <row r="315" spans="2:51" s="14" customFormat="1" ht="12">
      <c r="B315" s="156"/>
      <c r="D315" s="150" t="s">
        <v>154</v>
      </c>
      <c r="E315" s="157" t="s">
        <v>3</v>
      </c>
      <c r="F315" s="158" t="s">
        <v>411</v>
      </c>
      <c r="H315" s="159">
        <v>21</v>
      </c>
      <c r="L315" s="156"/>
      <c r="M315" s="160"/>
      <c r="N315" s="161"/>
      <c r="O315" s="161"/>
      <c r="P315" s="161"/>
      <c r="Q315" s="161"/>
      <c r="R315" s="161"/>
      <c r="S315" s="161"/>
      <c r="T315" s="162"/>
      <c r="AT315" s="157" t="s">
        <v>154</v>
      </c>
      <c r="AU315" s="157" t="s">
        <v>85</v>
      </c>
      <c r="AV315" s="14" t="s">
        <v>85</v>
      </c>
      <c r="AW315" s="14" t="s">
        <v>37</v>
      </c>
      <c r="AX315" s="14" t="s">
        <v>75</v>
      </c>
      <c r="AY315" s="157" t="s">
        <v>144</v>
      </c>
    </row>
    <row r="316" spans="2:51" s="15" customFormat="1" ht="12">
      <c r="B316" s="166"/>
      <c r="D316" s="150" t="s">
        <v>154</v>
      </c>
      <c r="E316" s="167" t="s">
        <v>3</v>
      </c>
      <c r="F316" s="168" t="s">
        <v>161</v>
      </c>
      <c r="H316" s="169">
        <v>37</v>
      </c>
      <c r="L316" s="166"/>
      <c r="M316" s="170"/>
      <c r="N316" s="171"/>
      <c r="O316" s="171"/>
      <c r="P316" s="171"/>
      <c r="Q316" s="171"/>
      <c r="R316" s="171"/>
      <c r="S316" s="171"/>
      <c r="T316" s="172"/>
      <c r="AT316" s="167" t="s">
        <v>154</v>
      </c>
      <c r="AU316" s="167" t="s">
        <v>85</v>
      </c>
      <c r="AV316" s="15" t="s">
        <v>152</v>
      </c>
      <c r="AW316" s="15" t="s">
        <v>37</v>
      </c>
      <c r="AX316" s="15" t="s">
        <v>83</v>
      </c>
      <c r="AY316" s="167" t="s">
        <v>144</v>
      </c>
    </row>
    <row r="317" spans="1:65" s="2" customFormat="1" ht="24.2" customHeight="1">
      <c r="A317" s="31"/>
      <c r="B317" s="136"/>
      <c r="C317" s="137" t="s">
        <v>412</v>
      </c>
      <c r="D317" s="137" t="s">
        <v>147</v>
      </c>
      <c r="E317" s="138" t="s">
        <v>413</v>
      </c>
      <c r="F317" s="139" t="s">
        <v>414</v>
      </c>
      <c r="G317" s="140" t="s">
        <v>156</v>
      </c>
      <c r="H317" s="141">
        <v>2</v>
      </c>
      <c r="I317" s="142"/>
      <c r="J317" s="142">
        <f>ROUND(I317*H317,2)</f>
        <v>0</v>
      </c>
      <c r="K317" s="139" t="s">
        <v>157</v>
      </c>
      <c r="L317" s="32"/>
      <c r="M317" s="143" t="s">
        <v>3</v>
      </c>
      <c r="N317" s="144" t="s">
        <v>46</v>
      </c>
      <c r="O317" s="145">
        <v>0.16</v>
      </c>
      <c r="P317" s="145">
        <f>O317*H317</f>
        <v>0.32</v>
      </c>
      <c r="Q317" s="145">
        <v>0</v>
      </c>
      <c r="R317" s="145">
        <f>Q317*H317</f>
        <v>0</v>
      </c>
      <c r="S317" s="145">
        <v>0.006</v>
      </c>
      <c r="T317" s="146">
        <f>S317*H317</f>
        <v>0.012</v>
      </c>
      <c r="U317" s="31"/>
      <c r="V317" s="31"/>
      <c r="W317" s="31"/>
      <c r="X317" s="31"/>
      <c r="Y317" s="31"/>
      <c r="Z317" s="31"/>
      <c r="AA317" s="31"/>
      <c r="AB317" s="31"/>
      <c r="AC317" s="31"/>
      <c r="AD317" s="31"/>
      <c r="AE317" s="31"/>
      <c r="AR317" s="147" t="s">
        <v>218</v>
      </c>
      <c r="AT317" s="147" t="s">
        <v>147</v>
      </c>
      <c r="AU317" s="147" t="s">
        <v>85</v>
      </c>
      <c r="AY317" s="19" t="s">
        <v>144</v>
      </c>
      <c r="BE317" s="148">
        <f>IF(N317="základní",J317,0)</f>
        <v>0</v>
      </c>
      <c r="BF317" s="148">
        <f>IF(N317="snížená",J317,0)</f>
        <v>0</v>
      </c>
      <c r="BG317" s="148">
        <f>IF(N317="zákl. přenesená",J317,0)</f>
        <v>0</v>
      </c>
      <c r="BH317" s="148">
        <f>IF(N317="sníž. přenesená",J317,0)</f>
        <v>0</v>
      </c>
      <c r="BI317" s="148">
        <f>IF(N317="nulová",J317,0)</f>
        <v>0</v>
      </c>
      <c r="BJ317" s="19" t="s">
        <v>83</v>
      </c>
      <c r="BK317" s="148">
        <f>ROUND(I317*H317,2)</f>
        <v>0</v>
      </c>
      <c r="BL317" s="19" t="s">
        <v>218</v>
      </c>
      <c r="BM317" s="147" t="s">
        <v>415</v>
      </c>
    </row>
    <row r="318" spans="2:51" s="13" customFormat="1" ht="22.5">
      <c r="B318" s="149"/>
      <c r="D318" s="150" t="s">
        <v>154</v>
      </c>
      <c r="E318" s="151" t="s">
        <v>3</v>
      </c>
      <c r="F318" s="152" t="s">
        <v>232</v>
      </c>
      <c r="H318" s="151" t="s">
        <v>3</v>
      </c>
      <c r="L318" s="149"/>
      <c r="M318" s="153"/>
      <c r="N318" s="154"/>
      <c r="O318" s="154"/>
      <c r="P318" s="154"/>
      <c r="Q318" s="154"/>
      <c r="R318" s="154"/>
      <c r="S318" s="154"/>
      <c r="T318" s="155"/>
      <c r="AT318" s="151" t="s">
        <v>154</v>
      </c>
      <c r="AU318" s="151" t="s">
        <v>85</v>
      </c>
      <c r="AV318" s="13" t="s">
        <v>83</v>
      </c>
      <c r="AW318" s="13" t="s">
        <v>37</v>
      </c>
      <c r="AX318" s="13" t="s">
        <v>75</v>
      </c>
      <c r="AY318" s="151" t="s">
        <v>144</v>
      </c>
    </row>
    <row r="319" spans="2:51" s="13" customFormat="1" ht="12">
      <c r="B319" s="149"/>
      <c r="D319" s="150" t="s">
        <v>154</v>
      </c>
      <c r="E319" s="151" t="s">
        <v>3</v>
      </c>
      <c r="F319" s="152" t="s">
        <v>166</v>
      </c>
      <c r="H319" s="151" t="s">
        <v>3</v>
      </c>
      <c r="L319" s="149"/>
      <c r="M319" s="153"/>
      <c r="N319" s="154"/>
      <c r="O319" s="154"/>
      <c r="P319" s="154"/>
      <c r="Q319" s="154"/>
      <c r="R319" s="154"/>
      <c r="S319" s="154"/>
      <c r="T319" s="155"/>
      <c r="AT319" s="151" t="s">
        <v>154</v>
      </c>
      <c r="AU319" s="151" t="s">
        <v>85</v>
      </c>
      <c r="AV319" s="13" t="s">
        <v>83</v>
      </c>
      <c r="AW319" s="13" t="s">
        <v>37</v>
      </c>
      <c r="AX319" s="13" t="s">
        <v>75</v>
      </c>
      <c r="AY319" s="151" t="s">
        <v>144</v>
      </c>
    </row>
    <row r="320" spans="2:51" s="14" customFormat="1" ht="12">
      <c r="B320" s="156"/>
      <c r="D320" s="150" t="s">
        <v>154</v>
      </c>
      <c r="E320" s="157" t="s">
        <v>3</v>
      </c>
      <c r="F320" s="158" t="s">
        <v>416</v>
      </c>
      <c r="H320" s="159">
        <v>1</v>
      </c>
      <c r="L320" s="156"/>
      <c r="M320" s="160"/>
      <c r="N320" s="161"/>
      <c r="O320" s="161"/>
      <c r="P320" s="161"/>
      <c r="Q320" s="161"/>
      <c r="R320" s="161"/>
      <c r="S320" s="161"/>
      <c r="T320" s="162"/>
      <c r="AT320" s="157" t="s">
        <v>154</v>
      </c>
      <c r="AU320" s="157" t="s">
        <v>85</v>
      </c>
      <c r="AV320" s="14" t="s">
        <v>85</v>
      </c>
      <c r="AW320" s="14" t="s">
        <v>37</v>
      </c>
      <c r="AX320" s="14" t="s">
        <v>75</v>
      </c>
      <c r="AY320" s="157" t="s">
        <v>144</v>
      </c>
    </row>
    <row r="321" spans="2:51" s="13" customFormat="1" ht="12">
      <c r="B321" s="149"/>
      <c r="D321" s="150" t="s">
        <v>154</v>
      </c>
      <c r="E321" s="151" t="s">
        <v>3</v>
      </c>
      <c r="F321" s="152" t="s">
        <v>167</v>
      </c>
      <c r="H321" s="151" t="s">
        <v>3</v>
      </c>
      <c r="L321" s="149"/>
      <c r="M321" s="153"/>
      <c r="N321" s="154"/>
      <c r="O321" s="154"/>
      <c r="P321" s="154"/>
      <c r="Q321" s="154"/>
      <c r="R321" s="154"/>
      <c r="S321" s="154"/>
      <c r="T321" s="155"/>
      <c r="AT321" s="151" t="s">
        <v>154</v>
      </c>
      <c r="AU321" s="151" t="s">
        <v>85</v>
      </c>
      <c r="AV321" s="13" t="s">
        <v>83</v>
      </c>
      <c r="AW321" s="13" t="s">
        <v>37</v>
      </c>
      <c r="AX321" s="13" t="s">
        <v>75</v>
      </c>
      <c r="AY321" s="151" t="s">
        <v>144</v>
      </c>
    </row>
    <row r="322" spans="2:51" s="14" customFormat="1" ht="12">
      <c r="B322" s="156"/>
      <c r="D322" s="150" t="s">
        <v>154</v>
      </c>
      <c r="E322" s="157" t="s">
        <v>3</v>
      </c>
      <c r="F322" s="158" t="s">
        <v>417</v>
      </c>
      <c r="H322" s="159">
        <v>1</v>
      </c>
      <c r="L322" s="156"/>
      <c r="M322" s="160"/>
      <c r="N322" s="161"/>
      <c r="O322" s="161"/>
      <c r="P322" s="161"/>
      <c r="Q322" s="161"/>
      <c r="R322" s="161"/>
      <c r="S322" s="161"/>
      <c r="T322" s="162"/>
      <c r="AT322" s="157" t="s">
        <v>154</v>
      </c>
      <c r="AU322" s="157" t="s">
        <v>85</v>
      </c>
      <c r="AV322" s="14" t="s">
        <v>85</v>
      </c>
      <c r="AW322" s="14" t="s">
        <v>37</v>
      </c>
      <c r="AX322" s="14" t="s">
        <v>75</v>
      </c>
      <c r="AY322" s="157" t="s">
        <v>144</v>
      </c>
    </row>
    <row r="323" spans="2:51" s="15" customFormat="1" ht="12">
      <c r="B323" s="166"/>
      <c r="D323" s="150" t="s">
        <v>154</v>
      </c>
      <c r="E323" s="167" t="s">
        <v>3</v>
      </c>
      <c r="F323" s="168" t="s">
        <v>161</v>
      </c>
      <c r="H323" s="169">
        <v>2</v>
      </c>
      <c r="L323" s="166"/>
      <c r="M323" s="170"/>
      <c r="N323" s="171"/>
      <c r="O323" s="171"/>
      <c r="P323" s="171"/>
      <c r="Q323" s="171"/>
      <c r="R323" s="171"/>
      <c r="S323" s="171"/>
      <c r="T323" s="172"/>
      <c r="AT323" s="167" t="s">
        <v>154</v>
      </c>
      <c r="AU323" s="167" t="s">
        <v>85</v>
      </c>
      <c r="AV323" s="15" t="s">
        <v>152</v>
      </c>
      <c r="AW323" s="15" t="s">
        <v>37</v>
      </c>
      <c r="AX323" s="15" t="s">
        <v>83</v>
      </c>
      <c r="AY323" s="167" t="s">
        <v>144</v>
      </c>
    </row>
    <row r="324" spans="1:65" s="2" customFormat="1" ht="37.9" customHeight="1">
      <c r="A324" s="31"/>
      <c r="B324" s="136"/>
      <c r="C324" s="286" t="s">
        <v>418</v>
      </c>
      <c r="D324" s="286" t="s">
        <v>147</v>
      </c>
      <c r="E324" s="287" t="s">
        <v>419</v>
      </c>
      <c r="F324" s="288" t="s">
        <v>420</v>
      </c>
      <c r="G324" s="289" t="s">
        <v>183</v>
      </c>
      <c r="H324" s="290">
        <f>H330</f>
        <v>4</v>
      </c>
      <c r="I324" s="278"/>
      <c r="J324" s="278">
        <f>ROUND(I324*H324,2)</f>
        <v>0</v>
      </c>
      <c r="K324" s="288" t="s">
        <v>157</v>
      </c>
      <c r="L324" s="32"/>
      <c r="M324" s="143" t="s">
        <v>3</v>
      </c>
      <c r="N324" s="144" t="s">
        <v>46</v>
      </c>
      <c r="O324" s="145">
        <v>0.683</v>
      </c>
      <c r="P324" s="145">
        <f>O324*H324</f>
        <v>2.732</v>
      </c>
      <c r="Q324" s="145">
        <v>0</v>
      </c>
      <c r="R324" s="145">
        <f>Q324*H324</f>
        <v>0</v>
      </c>
      <c r="S324" s="145">
        <v>0</v>
      </c>
      <c r="T324" s="146">
        <f>S324*H324</f>
        <v>0</v>
      </c>
      <c r="U324" s="31"/>
      <c r="V324" s="31"/>
      <c r="W324" s="31"/>
      <c r="X324" s="31"/>
      <c r="Y324" s="31"/>
      <c r="Z324" s="31"/>
      <c r="AA324" s="31"/>
      <c r="AB324" s="31"/>
      <c r="AC324" s="31"/>
      <c r="AD324" s="31"/>
      <c r="AE324" s="31"/>
      <c r="AR324" s="147" t="s">
        <v>218</v>
      </c>
      <c r="AT324" s="147" t="s">
        <v>147</v>
      </c>
      <c r="AU324" s="147" t="s">
        <v>85</v>
      </c>
      <c r="AY324" s="19" t="s">
        <v>144</v>
      </c>
      <c r="BE324" s="148">
        <f>IF(N324="základní",J324,0)</f>
        <v>0</v>
      </c>
      <c r="BF324" s="148">
        <f>IF(N324="snížená",J324,0)</f>
        <v>0</v>
      </c>
      <c r="BG324" s="148">
        <f>IF(N324="zákl. přenesená",J324,0)</f>
        <v>0</v>
      </c>
      <c r="BH324" s="148">
        <f>IF(N324="sníž. přenesená",J324,0)</f>
        <v>0</v>
      </c>
      <c r="BI324" s="148">
        <f>IF(N324="nulová",J324,0)</f>
        <v>0</v>
      </c>
      <c r="BJ324" s="19" t="s">
        <v>83</v>
      </c>
      <c r="BK324" s="148">
        <f>ROUND(I324*H324,2)</f>
        <v>0</v>
      </c>
      <c r="BL324" s="19" t="s">
        <v>218</v>
      </c>
      <c r="BM324" s="147" t="s">
        <v>421</v>
      </c>
    </row>
    <row r="325" spans="1:47" s="2" customFormat="1" ht="107.25">
      <c r="A325" s="31"/>
      <c r="B325" s="32"/>
      <c r="C325" s="31"/>
      <c r="D325" s="150" t="s">
        <v>158</v>
      </c>
      <c r="E325" s="31"/>
      <c r="F325" s="163" t="s">
        <v>422</v>
      </c>
      <c r="G325" s="31"/>
      <c r="H325" s="31"/>
      <c r="I325" s="31"/>
      <c r="J325" s="31"/>
      <c r="K325" s="31"/>
      <c r="L325" s="32"/>
      <c r="M325" s="164"/>
      <c r="N325" s="165"/>
      <c r="O325" s="52"/>
      <c r="P325" s="52"/>
      <c r="Q325" s="52"/>
      <c r="R325" s="52"/>
      <c r="S325" s="52"/>
      <c r="T325" s="53"/>
      <c r="U325" s="31"/>
      <c r="V325" s="31"/>
      <c r="W325" s="31"/>
      <c r="X325" s="31"/>
      <c r="Y325" s="31"/>
      <c r="Z325" s="31"/>
      <c r="AA325" s="31"/>
      <c r="AB325" s="31"/>
      <c r="AC325" s="31"/>
      <c r="AD325" s="31"/>
      <c r="AE325" s="31"/>
      <c r="AT325" s="19" t="s">
        <v>158</v>
      </c>
      <c r="AU325" s="19" t="s">
        <v>85</v>
      </c>
    </row>
    <row r="326" spans="2:51" s="13" customFormat="1" ht="12">
      <c r="B326" s="149"/>
      <c r="D326" s="150" t="s">
        <v>154</v>
      </c>
      <c r="E326" s="151" t="s">
        <v>3</v>
      </c>
      <c r="F326" s="152" t="s">
        <v>155</v>
      </c>
      <c r="H326" s="151" t="s">
        <v>3</v>
      </c>
      <c r="L326" s="149"/>
      <c r="M326" s="153"/>
      <c r="N326" s="154"/>
      <c r="O326" s="154"/>
      <c r="P326" s="154"/>
      <c r="Q326" s="154"/>
      <c r="R326" s="154"/>
      <c r="S326" s="154"/>
      <c r="T326" s="155"/>
      <c r="AT326" s="151" t="s">
        <v>154</v>
      </c>
      <c r="AU326" s="151" t="s">
        <v>85</v>
      </c>
      <c r="AV326" s="13" t="s">
        <v>83</v>
      </c>
      <c r="AW326" s="13" t="s">
        <v>37</v>
      </c>
      <c r="AX326" s="13" t="s">
        <v>75</v>
      </c>
      <c r="AY326" s="151" t="s">
        <v>144</v>
      </c>
    </row>
    <row r="327" spans="2:51" s="13" customFormat="1" ht="12">
      <c r="B327" s="149"/>
      <c r="D327" s="150" t="s">
        <v>154</v>
      </c>
      <c r="E327" s="151" t="s">
        <v>3</v>
      </c>
      <c r="F327" s="152" t="s">
        <v>167</v>
      </c>
      <c r="H327" s="151" t="s">
        <v>3</v>
      </c>
      <c r="L327" s="149"/>
      <c r="M327" s="153"/>
      <c r="N327" s="154"/>
      <c r="O327" s="154"/>
      <c r="P327" s="154"/>
      <c r="Q327" s="154"/>
      <c r="R327" s="154"/>
      <c r="S327" s="154"/>
      <c r="T327" s="155"/>
      <c r="AT327" s="151" t="s">
        <v>154</v>
      </c>
      <c r="AU327" s="151" t="s">
        <v>85</v>
      </c>
      <c r="AV327" s="13" t="s">
        <v>83</v>
      </c>
      <c r="AW327" s="13" t="s">
        <v>37</v>
      </c>
      <c r="AX327" s="13" t="s">
        <v>75</v>
      </c>
      <c r="AY327" s="151" t="s">
        <v>144</v>
      </c>
    </row>
    <row r="328" spans="2:51" s="14" customFormat="1" ht="12">
      <c r="B328" s="156"/>
      <c r="D328" s="150" t="s">
        <v>154</v>
      </c>
      <c r="E328" s="157" t="s">
        <v>3</v>
      </c>
      <c r="F328" s="158" t="s">
        <v>423</v>
      </c>
      <c r="H328" s="159">
        <v>2</v>
      </c>
      <c r="L328" s="156"/>
      <c r="M328" s="160"/>
      <c r="N328" s="161"/>
      <c r="O328" s="161"/>
      <c r="P328" s="161"/>
      <c r="Q328" s="161"/>
      <c r="R328" s="161"/>
      <c r="S328" s="161"/>
      <c r="T328" s="162"/>
      <c r="AT328" s="157" t="s">
        <v>154</v>
      </c>
      <c r="AU328" s="157" t="s">
        <v>85</v>
      </c>
      <c r="AV328" s="14" t="s">
        <v>85</v>
      </c>
      <c r="AW328" s="14" t="s">
        <v>37</v>
      </c>
      <c r="AX328" s="14" t="s">
        <v>75</v>
      </c>
      <c r="AY328" s="157" t="s">
        <v>144</v>
      </c>
    </row>
    <row r="329" spans="2:51" s="14" customFormat="1" ht="12">
      <c r="B329" s="156"/>
      <c r="D329" s="150" t="s">
        <v>154</v>
      </c>
      <c r="E329" s="157" t="s">
        <v>3</v>
      </c>
      <c r="F329" s="158" t="s">
        <v>424</v>
      </c>
      <c r="H329" s="159">
        <v>2</v>
      </c>
      <c r="L329" s="156"/>
      <c r="M329" s="160"/>
      <c r="N329" s="161"/>
      <c r="O329" s="161"/>
      <c r="P329" s="161"/>
      <c r="Q329" s="161"/>
      <c r="R329" s="161"/>
      <c r="S329" s="161"/>
      <c r="T329" s="162"/>
      <c r="AT329" s="157" t="s">
        <v>154</v>
      </c>
      <c r="AU329" s="157" t="s">
        <v>85</v>
      </c>
      <c r="AV329" s="14" t="s">
        <v>85</v>
      </c>
      <c r="AW329" s="14" t="s">
        <v>37</v>
      </c>
      <c r="AX329" s="14" t="s">
        <v>75</v>
      </c>
      <c r="AY329" s="157" t="s">
        <v>144</v>
      </c>
    </row>
    <row r="330" spans="2:51" s="15" customFormat="1" ht="12">
      <c r="B330" s="166"/>
      <c r="D330" s="150" t="s">
        <v>154</v>
      </c>
      <c r="E330" s="167" t="s">
        <v>3</v>
      </c>
      <c r="F330" s="168" t="s">
        <v>161</v>
      </c>
      <c r="H330" s="169">
        <v>4</v>
      </c>
      <c r="L330" s="166"/>
      <c r="M330" s="170"/>
      <c r="N330" s="171"/>
      <c r="O330" s="171"/>
      <c r="P330" s="171"/>
      <c r="Q330" s="171"/>
      <c r="R330" s="171"/>
      <c r="S330" s="171"/>
      <c r="T330" s="172"/>
      <c r="AT330" s="167" t="s">
        <v>154</v>
      </c>
      <c r="AU330" s="167" t="s">
        <v>85</v>
      </c>
      <c r="AV330" s="15" t="s">
        <v>152</v>
      </c>
      <c r="AW330" s="15" t="s">
        <v>37</v>
      </c>
      <c r="AX330" s="15" t="s">
        <v>83</v>
      </c>
      <c r="AY330" s="167" t="s">
        <v>144</v>
      </c>
    </row>
    <row r="331" spans="1:65" s="2" customFormat="1" ht="37.9" customHeight="1">
      <c r="A331" s="31"/>
      <c r="B331" s="136"/>
      <c r="C331" s="137" t="s">
        <v>425</v>
      </c>
      <c r="D331" s="137" t="s">
        <v>147</v>
      </c>
      <c r="E331" s="138" t="s">
        <v>426</v>
      </c>
      <c r="F331" s="139" t="s">
        <v>427</v>
      </c>
      <c r="G331" s="140" t="s">
        <v>183</v>
      </c>
      <c r="H331" s="141">
        <v>10.37</v>
      </c>
      <c r="I331" s="142"/>
      <c r="J331" s="142">
        <f>ROUND(I331*H331,2)</f>
        <v>0</v>
      </c>
      <c r="K331" s="139" t="s">
        <v>157</v>
      </c>
      <c r="L331" s="32"/>
      <c r="M331" s="143" t="s">
        <v>3</v>
      </c>
      <c r="N331" s="144" t="s">
        <v>46</v>
      </c>
      <c r="O331" s="145">
        <v>0.573</v>
      </c>
      <c r="P331" s="145">
        <f>O331*H331</f>
        <v>5.942009999999999</v>
      </c>
      <c r="Q331" s="145">
        <v>0</v>
      </c>
      <c r="R331" s="145">
        <f>Q331*H331</f>
        <v>0</v>
      </c>
      <c r="S331" s="145">
        <v>0</v>
      </c>
      <c r="T331" s="146">
        <f>S331*H331</f>
        <v>0</v>
      </c>
      <c r="U331" s="31"/>
      <c r="V331" s="31"/>
      <c r="W331" s="31"/>
      <c r="X331" s="31"/>
      <c r="Y331" s="31"/>
      <c r="Z331" s="31"/>
      <c r="AA331" s="31"/>
      <c r="AB331" s="31"/>
      <c r="AC331" s="31"/>
      <c r="AD331" s="31"/>
      <c r="AE331" s="31"/>
      <c r="AR331" s="147" t="s">
        <v>218</v>
      </c>
      <c r="AT331" s="147" t="s">
        <v>147</v>
      </c>
      <c r="AU331" s="147" t="s">
        <v>85</v>
      </c>
      <c r="AY331" s="19" t="s">
        <v>144</v>
      </c>
      <c r="BE331" s="148">
        <f>IF(N331="základní",J331,0)</f>
        <v>0</v>
      </c>
      <c r="BF331" s="148">
        <f>IF(N331="snížená",J331,0)</f>
        <v>0</v>
      </c>
      <c r="BG331" s="148">
        <f>IF(N331="zákl. přenesená",J331,0)</f>
        <v>0</v>
      </c>
      <c r="BH331" s="148">
        <f>IF(N331="sníž. přenesená",J331,0)</f>
        <v>0</v>
      </c>
      <c r="BI331" s="148">
        <f>IF(N331="nulová",J331,0)</f>
        <v>0</v>
      </c>
      <c r="BJ331" s="19" t="s">
        <v>83</v>
      </c>
      <c r="BK331" s="148">
        <f>ROUND(I331*H331,2)</f>
        <v>0</v>
      </c>
      <c r="BL331" s="19" t="s">
        <v>218</v>
      </c>
      <c r="BM331" s="147" t="s">
        <v>428</v>
      </c>
    </row>
    <row r="332" spans="1:47" s="2" customFormat="1" ht="107.25">
      <c r="A332" s="31"/>
      <c r="B332" s="32"/>
      <c r="C332" s="31"/>
      <c r="D332" s="150" t="s">
        <v>158</v>
      </c>
      <c r="E332" s="31"/>
      <c r="F332" s="163" t="s">
        <v>422</v>
      </c>
      <c r="G332" s="31"/>
      <c r="H332" s="31"/>
      <c r="I332" s="31"/>
      <c r="J332" s="31"/>
      <c r="K332" s="31"/>
      <c r="L332" s="32"/>
      <c r="M332" s="164"/>
      <c r="N332" s="165"/>
      <c r="O332" s="52"/>
      <c r="P332" s="52"/>
      <c r="Q332" s="52"/>
      <c r="R332" s="52"/>
      <c r="S332" s="52"/>
      <c r="T332" s="53"/>
      <c r="U332" s="31"/>
      <c r="V332" s="31"/>
      <c r="W332" s="31"/>
      <c r="X332" s="31"/>
      <c r="Y332" s="31"/>
      <c r="Z332" s="31"/>
      <c r="AA332" s="31"/>
      <c r="AB332" s="31"/>
      <c r="AC332" s="31"/>
      <c r="AD332" s="31"/>
      <c r="AE332" s="31"/>
      <c r="AT332" s="19" t="s">
        <v>158</v>
      </c>
      <c r="AU332" s="19" t="s">
        <v>85</v>
      </c>
    </row>
    <row r="333" spans="2:51" s="13" customFormat="1" ht="12">
      <c r="B333" s="149"/>
      <c r="D333" s="150" t="s">
        <v>154</v>
      </c>
      <c r="E333" s="151" t="s">
        <v>3</v>
      </c>
      <c r="F333" s="152" t="s">
        <v>155</v>
      </c>
      <c r="H333" s="151" t="s">
        <v>3</v>
      </c>
      <c r="L333" s="149"/>
      <c r="M333" s="153"/>
      <c r="N333" s="154"/>
      <c r="O333" s="154"/>
      <c r="P333" s="154"/>
      <c r="Q333" s="154"/>
      <c r="R333" s="154"/>
      <c r="S333" s="154"/>
      <c r="T333" s="155"/>
      <c r="AT333" s="151" t="s">
        <v>154</v>
      </c>
      <c r="AU333" s="151" t="s">
        <v>85</v>
      </c>
      <c r="AV333" s="13" t="s">
        <v>83</v>
      </c>
      <c r="AW333" s="13" t="s">
        <v>37</v>
      </c>
      <c r="AX333" s="13" t="s">
        <v>75</v>
      </c>
      <c r="AY333" s="151" t="s">
        <v>144</v>
      </c>
    </row>
    <row r="334" spans="2:51" s="13" customFormat="1" ht="12">
      <c r="B334" s="149"/>
      <c r="D334" s="150" t="s">
        <v>154</v>
      </c>
      <c r="E334" s="151" t="s">
        <v>3</v>
      </c>
      <c r="F334" s="152" t="s">
        <v>166</v>
      </c>
      <c r="H334" s="151" t="s">
        <v>3</v>
      </c>
      <c r="L334" s="149"/>
      <c r="M334" s="153"/>
      <c r="N334" s="154"/>
      <c r="O334" s="154"/>
      <c r="P334" s="154"/>
      <c r="Q334" s="154"/>
      <c r="R334" s="154"/>
      <c r="S334" s="154"/>
      <c r="T334" s="155"/>
      <c r="AT334" s="151" t="s">
        <v>154</v>
      </c>
      <c r="AU334" s="151" t="s">
        <v>85</v>
      </c>
      <c r="AV334" s="13" t="s">
        <v>83</v>
      </c>
      <c r="AW334" s="13" t="s">
        <v>37</v>
      </c>
      <c r="AX334" s="13" t="s">
        <v>75</v>
      </c>
      <c r="AY334" s="151" t="s">
        <v>144</v>
      </c>
    </row>
    <row r="335" spans="2:51" s="14" customFormat="1" ht="12">
      <c r="B335" s="156"/>
      <c r="D335" s="150" t="s">
        <v>154</v>
      </c>
      <c r="E335" s="157" t="s">
        <v>3</v>
      </c>
      <c r="F335" s="158" t="s">
        <v>429</v>
      </c>
      <c r="H335" s="159">
        <v>5.03</v>
      </c>
      <c r="L335" s="156"/>
      <c r="M335" s="160"/>
      <c r="N335" s="161"/>
      <c r="O335" s="161"/>
      <c r="P335" s="161"/>
      <c r="Q335" s="161"/>
      <c r="R335" s="161"/>
      <c r="S335" s="161"/>
      <c r="T335" s="162"/>
      <c r="AT335" s="157" t="s">
        <v>154</v>
      </c>
      <c r="AU335" s="157" t="s">
        <v>85</v>
      </c>
      <c r="AV335" s="14" t="s">
        <v>85</v>
      </c>
      <c r="AW335" s="14" t="s">
        <v>37</v>
      </c>
      <c r="AX335" s="14" t="s">
        <v>75</v>
      </c>
      <c r="AY335" s="157" t="s">
        <v>144</v>
      </c>
    </row>
    <row r="336" spans="2:51" s="13" customFormat="1" ht="12">
      <c r="B336" s="149"/>
      <c r="D336" s="150" t="s">
        <v>154</v>
      </c>
      <c r="E336" s="151" t="s">
        <v>3</v>
      </c>
      <c r="F336" s="152" t="s">
        <v>167</v>
      </c>
      <c r="H336" s="151" t="s">
        <v>3</v>
      </c>
      <c r="L336" s="149"/>
      <c r="M336" s="153"/>
      <c r="N336" s="154"/>
      <c r="O336" s="154"/>
      <c r="P336" s="154"/>
      <c r="Q336" s="154"/>
      <c r="R336" s="154"/>
      <c r="S336" s="154"/>
      <c r="T336" s="155"/>
      <c r="AT336" s="151" t="s">
        <v>154</v>
      </c>
      <c r="AU336" s="151" t="s">
        <v>85</v>
      </c>
      <c r="AV336" s="13" t="s">
        <v>83</v>
      </c>
      <c r="AW336" s="13" t="s">
        <v>37</v>
      </c>
      <c r="AX336" s="13" t="s">
        <v>75</v>
      </c>
      <c r="AY336" s="151" t="s">
        <v>144</v>
      </c>
    </row>
    <row r="337" spans="2:51" s="14" customFormat="1" ht="12">
      <c r="B337" s="156"/>
      <c r="D337" s="150" t="s">
        <v>154</v>
      </c>
      <c r="E337" s="157" t="s">
        <v>3</v>
      </c>
      <c r="F337" s="158" t="s">
        <v>430</v>
      </c>
      <c r="H337" s="159">
        <v>5.34</v>
      </c>
      <c r="L337" s="156"/>
      <c r="M337" s="160"/>
      <c r="N337" s="161"/>
      <c r="O337" s="161"/>
      <c r="P337" s="161"/>
      <c r="Q337" s="161"/>
      <c r="R337" s="161"/>
      <c r="S337" s="161"/>
      <c r="T337" s="162"/>
      <c r="AT337" s="157" t="s">
        <v>154</v>
      </c>
      <c r="AU337" s="157" t="s">
        <v>85</v>
      </c>
      <c r="AV337" s="14" t="s">
        <v>85</v>
      </c>
      <c r="AW337" s="14" t="s">
        <v>37</v>
      </c>
      <c r="AX337" s="14" t="s">
        <v>75</v>
      </c>
      <c r="AY337" s="157" t="s">
        <v>144</v>
      </c>
    </row>
    <row r="338" spans="2:51" s="15" customFormat="1" ht="12">
      <c r="B338" s="166"/>
      <c r="D338" s="150" t="s">
        <v>154</v>
      </c>
      <c r="E338" s="167" t="s">
        <v>3</v>
      </c>
      <c r="F338" s="168" t="s">
        <v>161</v>
      </c>
      <c r="H338" s="169">
        <v>10.370000000000001</v>
      </c>
      <c r="L338" s="166"/>
      <c r="M338" s="170"/>
      <c r="N338" s="171"/>
      <c r="O338" s="171"/>
      <c r="P338" s="171"/>
      <c r="Q338" s="171"/>
      <c r="R338" s="171"/>
      <c r="S338" s="171"/>
      <c r="T338" s="172"/>
      <c r="AT338" s="167" t="s">
        <v>154</v>
      </c>
      <c r="AU338" s="167" t="s">
        <v>85</v>
      </c>
      <c r="AV338" s="15" t="s">
        <v>152</v>
      </c>
      <c r="AW338" s="15" t="s">
        <v>37</v>
      </c>
      <c r="AX338" s="15" t="s">
        <v>83</v>
      </c>
      <c r="AY338" s="167" t="s">
        <v>144</v>
      </c>
    </row>
    <row r="339" spans="1:65" s="2" customFormat="1" ht="37.9" customHeight="1">
      <c r="A339" s="31"/>
      <c r="B339" s="136"/>
      <c r="C339" s="173" t="s">
        <v>431</v>
      </c>
      <c r="D339" s="173" t="s">
        <v>174</v>
      </c>
      <c r="E339" s="174" t="s">
        <v>432</v>
      </c>
      <c r="F339" s="175" t="s">
        <v>433</v>
      </c>
      <c r="G339" s="176" t="s">
        <v>183</v>
      </c>
      <c r="H339" s="177">
        <f>H342</f>
        <v>15.807</v>
      </c>
      <c r="I339" s="178"/>
      <c r="J339" s="178">
        <f>ROUND(I339*H339,2)</f>
        <v>0</v>
      </c>
      <c r="K339" s="175" t="s">
        <v>151</v>
      </c>
      <c r="L339" s="179"/>
      <c r="M339" s="180" t="s">
        <v>3</v>
      </c>
      <c r="N339" s="181" t="s">
        <v>46</v>
      </c>
      <c r="O339" s="145">
        <v>0</v>
      </c>
      <c r="P339" s="145">
        <f>O339*H339</f>
        <v>0</v>
      </c>
      <c r="Q339" s="145">
        <v>0</v>
      </c>
      <c r="R339" s="145">
        <f>Q339*H339</f>
        <v>0</v>
      </c>
      <c r="S339" s="145">
        <v>0</v>
      </c>
      <c r="T339" s="146">
        <f>S339*H339</f>
        <v>0</v>
      </c>
      <c r="U339" s="31"/>
      <c r="V339" s="31"/>
      <c r="W339" s="31"/>
      <c r="X339" s="31"/>
      <c r="Y339" s="31"/>
      <c r="Z339" s="31"/>
      <c r="AA339" s="31"/>
      <c r="AB339" s="31"/>
      <c r="AC339" s="31"/>
      <c r="AD339" s="31"/>
      <c r="AE339" s="31"/>
      <c r="AR339" s="147" t="s">
        <v>248</v>
      </c>
      <c r="AT339" s="147" t="s">
        <v>174</v>
      </c>
      <c r="AU339" s="147" t="s">
        <v>85</v>
      </c>
      <c r="AY339" s="19" t="s">
        <v>144</v>
      </c>
      <c r="BE339" s="148">
        <f>IF(N339="základní",J339,0)</f>
        <v>0</v>
      </c>
      <c r="BF339" s="148">
        <f>IF(N339="snížená",J339,0)</f>
        <v>0</v>
      </c>
      <c r="BG339" s="148">
        <f>IF(N339="zákl. přenesená",J339,0)</f>
        <v>0</v>
      </c>
      <c r="BH339" s="148">
        <f>IF(N339="sníž. přenesená",J339,0)</f>
        <v>0</v>
      </c>
      <c r="BI339" s="148">
        <f>IF(N339="nulová",J339,0)</f>
        <v>0</v>
      </c>
      <c r="BJ339" s="19" t="s">
        <v>83</v>
      </c>
      <c r="BK339" s="148">
        <f>ROUND(I339*H339,2)</f>
        <v>0</v>
      </c>
      <c r="BL339" s="19" t="s">
        <v>218</v>
      </c>
      <c r="BM339" s="147" t="s">
        <v>434</v>
      </c>
    </row>
    <row r="340" spans="2:51" s="13" customFormat="1" ht="12">
      <c r="B340" s="149"/>
      <c r="D340" s="150" t="s">
        <v>154</v>
      </c>
      <c r="E340" s="151" t="s">
        <v>3</v>
      </c>
      <c r="F340" s="152" t="s">
        <v>216</v>
      </c>
      <c r="H340" s="151" t="s">
        <v>3</v>
      </c>
      <c r="L340" s="149"/>
      <c r="M340" s="153"/>
      <c r="N340" s="154"/>
      <c r="O340" s="154"/>
      <c r="P340" s="154"/>
      <c r="Q340" s="154"/>
      <c r="R340" s="154"/>
      <c r="S340" s="154"/>
      <c r="T340" s="155"/>
      <c r="AT340" s="151" t="s">
        <v>154</v>
      </c>
      <c r="AU340" s="151" t="s">
        <v>85</v>
      </c>
      <c r="AV340" s="13" t="s">
        <v>83</v>
      </c>
      <c r="AW340" s="13" t="s">
        <v>37</v>
      </c>
      <c r="AX340" s="13" t="s">
        <v>75</v>
      </c>
      <c r="AY340" s="151" t="s">
        <v>144</v>
      </c>
    </row>
    <row r="341" spans="2:51" s="14" customFormat="1" ht="12">
      <c r="B341" s="156"/>
      <c r="D341" s="150" t="s">
        <v>154</v>
      </c>
      <c r="E341" s="157" t="s">
        <v>3</v>
      </c>
      <c r="F341" s="158" t="s">
        <v>1894</v>
      </c>
      <c r="H341" s="159">
        <f>H324+H331</f>
        <v>14.37</v>
      </c>
      <c r="L341" s="156"/>
      <c r="M341" s="160"/>
      <c r="N341" s="161"/>
      <c r="O341" s="161"/>
      <c r="P341" s="161"/>
      <c r="Q341" s="161"/>
      <c r="R341" s="161"/>
      <c r="S341" s="161"/>
      <c r="T341" s="162"/>
      <c r="AT341" s="157" t="s">
        <v>154</v>
      </c>
      <c r="AU341" s="157" t="s">
        <v>85</v>
      </c>
      <c r="AV341" s="14" t="s">
        <v>85</v>
      </c>
      <c r="AW341" s="14" t="s">
        <v>37</v>
      </c>
      <c r="AX341" s="14" t="s">
        <v>83</v>
      </c>
      <c r="AY341" s="157" t="s">
        <v>144</v>
      </c>
    </row>
    <row r="342" spans="2:51" s="14" customFormat="1" ht="12">
      <c r="B342" s="156"/>
      <c r="D342" s="150" t="s">
        <v>154</v>
      </c>
      <c r="F342" s="158" t="s">
        <v>1895</v>
      </c>
      <c r="H342" s="159">
        <f>H341*1.1</f>
        <v>15.807</v>
      </c>
      <c r="L342" s="156"/>
      <c r="M342" s="160"/>
      <c r="N342" s="161"/>
      <c r="O342" s="161"/>
      <c r="P342" s="161"/>
      <c r="Q342" s="161"/>
      <c r="R342" s="161"/>
      <c r="S342" s="161"/>
      <c r="T342" s="162"/>
      <c r="AT342" s="157" t="s">
        <v>154</v>
      </c>
      <c r="AU342" s="157" t="s">
        <v>85</v>
      </c>
      <c r="AV342" s="14" t="s">
        <v>85</v>
      </c>
      <c r="AW342" s="14" t="s">
        <v>4</v>
      </c>
      <c r="AX342" s="14" t="s">
        <v>83</v>
      </c>
      <c r="AY342" s="157" t="s">
        <v>144</v>
      </c>
    </row>
    <row r="343" spans="1:65" s="2" customFormat="1" ht="24.2" customHeight="1">
      <c r="A343" s="31"/>
      <c r="B343" s="136"/>
      <c r="C343" s="137" t="s">
        <v>435</v>
      </c>
      <c r="D343" s="137" t="s">
        <v>147</v>
      </c>
      <c r="E343" s="138" t="s">
        <v>436</v>
      </c>
      <c r="F343" s="139" t="s">
        <v>437</v>
      </c>
      <c r="G343" s="140" t="s">
        <v>183</v>
      </c>
      <c r="H343" s="141">
        <v>51.75</v>
      </c>
      <c r="I343" s="142"/>
      <c r="J343" s="142">
        <f>ROUND(I343*H343,2)</f>
        <v>0</v>
      </c>
      <c r="K343" s="139" t="s">
        <v>157</v>
      </c>
      <c r="L343" s="32"/>
      <c r="M343" s="143" t="s">
        <v>3</v>
      </c>
      <c r="N343" s="144" t="s">
        <v>46</v>
      </c>
      <c r="O343" s="145">
        <v>1.298</v>
      </c>
      <c r="P343" s="145">
        <f>O343*H343</f>
        <v>67.17150000000001</v>
      </c>
      <c r="Q343" s="145">
        <v>0.00026</v>
      </c>
      <c r="R343" s="145">
        <f>Q343*H343</f>
        <v>0.013454999999999998</v>
      </c>
      <c r="S343" s="145">
        <v>0</v>
      </c>
      <c r="T343" s="146">
        <f>S343*H343</f>
        <v>0</v>
      </c>
      <c r="U343" s="31"/>
      <c r="V343" s="31"/>
      <c r="W343" s="31"/>
      <c r="X343" s="31"/>
      <c r="Y343" s="31"/>
      <c r="Z343" s="31"/>
      <c r="AA343" s="31"/>
      <c r="AB343" s="31"/>
      <c r="AC343" s="31"/>
      <c r="AD343" s="31"/>
      <c r="AE343" s="31"/>
      <c r="AR343" s="147" t="s">
        <v>218</v>
      </c>
      <c r="AT343" s="147" t="s">
        <v>147</v>
      </c>
      <c r="AU343" s="147" t="s">
        <v>85</v>
      </c>
      <c r="AY343" s="19" t="s">
        <v>144</v>
      </c>
      <c r="BE343" s="148">
        <f>IF(N343="základní",J343,0)</f>
        <v>0</v>
      </c>
      <c r="BF343" s="148">
        <f>IF(N343="snížená",J343,0)</f>
        <v>0</v>
      </c>
      <c r="BG343" s="148">
        <f>IF(N343="zákl. přenesená",J343,0)</f>
        <v>0</v>
      </c>
      <c r="BH343" s="148">
        <f>IF(N343="sníž. přenesená",J343,0)</f>
        <v>0</v>
      </c>
      <c r="BI343" s="148">
        <f>IF(N343="nulová",J343,0)</f>
        <v>0</v>
      </c>
      <c r="BJ343" s="19" t="s">
        <v>83</v>
      </c>
      <c r="BK343" s="148">
        <f>ROUND(I343*H343,2)</f>
        <v>0</v>
      </c>
      <c r="BL343" s="19" t="s">
        <v>218</v>
      </c>
      <c r="BM343" s="147" t="s">
        <v>438</v>
      </c>
    </row>
    <row r="344" spans="1:47" s="2" customFormat="1" ht="126.75">
      <c r="A344" s="31"/>
      <c r="B344" s="32"/>
      <c r="C344" s="31"/>
      <c r="D344" s="150" t="s">
        <v>158</v>
      </c>
      <c r="E344" s="31"/>
      <c r="F344" s="163" t="s">
        <v>439</v>
      </c>
      <c r="G344" s="31"/>
      <c r="H344" s="31"/>
      <c r="I344" s="31"/>
      <c r="J344" s="31"/>
      <c r="K344" s="31"/>
      <c r="L344" s="32"/>
      <c r="M344" s="164"/>
      <c r="N344" s="165"/>
      <c r="O344" s="52"/>
      <c r="P344" s="52"/>
      <c r="Q344" s="52"/>
      <c r="R344" s="52"/>
      <c r="S344" s="52"/>
      <c r="T344" s="53"/>
      <c r="U344" s="31"/>
      <c r="V344" s="31"/>
      <c r="W344" s="31"/>
      <c r="X344" s="31"/>
      <c r="Y344" s="31"/>
      <c r="Z344" s="31"/>
      <c r="AA344" s="31"/>
      <c r="AB344" s="31"/>
      <c r="AC344" s="31"/>
      <c r="AD344" s="31"/>
      <c r="AE344" s="31"/>
      <c r="AT344" s="19" t="s">
        <v>158</v>
      </c>
      <c r="AU344" s="19" t="s">
        <v>85</v>
      </c>
    </row>
    <row r="345" spans="1:47" s="2" customFormat="1" ht="39">
      <c r="A345" s="31"/>
      <c r="B345" s="32"/>
      <c r="C345" s="31"/>
      <c r="D345" s="150" t="s">
        <v>270</v>
      </c>
      <c r="E345" s="31"/>
      <c r="F345" s="163" t="s">
        <v>440</v>
      </c>
      <c r="G345" s="31"/>
      <c r="H345" s="31"/>
      <c r="I345" s="31"/>
      <c r="J345" s="31"/>
      <c r="K345" s="31"/>
      <c r="L345" s="32"/>
      <c r="M345" s="164"/>
      <c r="N345" s="165"/>
      <c r="O345" s="52"/>
      <c r="P345" s="52"/>
      <c r="Q345" s="52"/>
      <c r="R345" s="52"/>
      <c r="S345" s="52"/>
      <c r="T345" s="53"/>
      <c r="U345" s="31"/>
      <c r="V345" s="31"/>
      <c r="W345" s="31"/>
      <c r="X345" s="31"/>
      <c r="Y345" s="31"/>
      <c r="Z345" s="31"/>
      <c r="AA345" s="31"/>
      <c r="AB345" s="31"/>
      <c r="AC345" s="31"/>
      <c r="AD345" s="31"/>
      <c r="AE345" s="31"/>
      <c r="AT345" s="19" t="s">
        <v>270</v>
      </c>
      <c r="AU345" s="19" t="s">
        <v>85</v>
      </c>
    </row>
    <row r="346" spans="2:51" s="13" customFormat="1" ht="12">
      <c r="B346" s="149"/>
      <c r="D346" s="150" t="s">
        <v>154</v>
      </c>
      <c r="E346" s="151" t="s">
        <v>3</v>
      </c>
      <c r="F346" s="152" t="s">
        <v>441</v>
      </c>
      <c r="H346" s="151" t="s">
        <v>3</v>
      </c>
      <c r="L346" s="149"/>
      <c r="M346" s="153"/>
      <c r="N346" s="154"/>
      <c r="O346" s="154"/>
      <c r="P346" s="154"/>
      <c r="Q346" s="154"/>
      <c r="R346" s="154"/>
      <c r="S346" s="154"/>
      <c r="T346" s="155"/>
      <c r="AT346" s="151" t="s">
        <v>154</v>
      </c>
      <c r="AU346" s="151" t="s">
        <v>85</v>
      </c>
      <c r="AV346" s="13" t="s">
        <v>83</v>
      </c>
      <c r="AW346" s="13" t="s">
        <v>37</v>
      </c>
      <c r="AX346" s="13" t="s">
        <v>75</v>
      </c>
      <c r="AY346" s="151" t="s">
        <v>144</v>
      </c>
    </row>
    <row r="347" spans="2:51" s="14" customFormat="1" ht="12">
      <c r="B347" s="156"/>
      <c r="D347" s="150" t="s">
        <v>154</v>
      </c>
      <c r="E347" s="157" t="s">
        <v>3</v>
      </c>
      <c r="F347" s="158" t="s">
        <v>442</v>
      </c>
      <c r="H347" s="159">
        <v>51.75</v>
      </c>
      <c r="L347" s="156"/>
      <c r="M347" s="160"/>
      <c r="N347" s="161"/>
      <c r="O347" s="161"/>
      <c r="P347" s="161"/>
      <c r="Q347" s="161"/>
      <c r="R347" s="161"/>
      <c r="S347" s="161"/>
      <c r="T347" s="162"/>
      <c r="AT347" s="157" t="s">
        <v>154</v>
      </c>
      <c r="AU347" s="157" t="s">
        <v>85</v>
      </c>
      <c r="AV347" s="14" t="s">
        <v>85</v>
      </c>
      <c r="AW347" s="14" t="s">
        <v>37</v>
      </c>
      <c r="AX347" s="14" t="s">
        <v>83</v>
      </c>
      <c r="AY347" s="157" t="s">
        <v>144</v>
      </c>
    </row>
    <row r="348" spans="1:65" s="2" customFormat="1" ht="114.95" customHeight="1">
      <c r="A348" s="31"/>
      <c r="B348" s="136"/>
      <c r="C348" s="173" t="s">
        <v>443</v>
      </c>
      <c r="D348" s="173" t="s">
        <v>174</v>
      </c>
      <c r="E348" s="174" t="s">
        <v>444</v>
      </c>
      <c r="F348" s="175" t="s">
        <v>445</v>
      </c>
      <c r="G348" s="176" t="s">
        <v>156</v>
      </c>
      <c r="H348" s="177">
        <v>18</v>
      </c>
      <c r="I348" s="178"/>
      <c r="J348" s="178">
        <f>ROUND(I348*H348,2)</f>
        <v>0</v>
      </c>
      <c r="K348" s="175" t="s">
        <v>151</v>
      </c>
      <c r="L348" s="179"/>
      <c r="M348" s="180" t="s">
        <v>3</v>
      </c>
      <c r="N348" s="181" t="s">
        <v>46</v>
      </c>
      <c r="O348" s="145">
        <v>0</v>
      </c>
      <c r="P348" s="145">
        <f>O348*H348</f>
        <v>0</v>
      </c>
      <c r="Q348" s="145">
        <v>0</v>
      </c>
      <c r="R348" s="145">
        <f>Q348*H348</f>
        <v>0</v>
      </c>
      <c r="S348" s="145">
        <v>0</v>
      </c>
      <c r="T348" s="146">
        <f>S348*H348</f>
        <v>0</v>
      </c>
      <c r="U348" s="31"/>
      <c r="V348" s="31"/>
      <c r="W348" s="31"/>
      <c r="X348" s="31"/>
      <c r="Y348" s="31"/>
      <c r="Z348" s="31"/>
      <c r="AA348" s="31"/>
      <c r="AB348" s="31"/>
      <c r="AC348" s="31"/>
      <c r="AD348" s="31"/>
      <c r="AE348" s="31"/>
      <c r="AR348" s="147" t="s">
        <v>248</v>
      </c>
      <c r="AT348" s="147" t="s">
        <v>174</v>
      </c>
      <c r="AU348" s="147" t="s">
        <v>85</v>
      </c>
      <c r="AY348" s="19" t="s">
        <v>144</v>
      </c>
      <c r="BE348" s="148">
        <f>IF(N348="základní",J348,0)</f>
        <v>0</v>
      </c>
      <c r="BF348" s="148">
        <f>IF(N348="snížená",J348,0)</f>
        <v>0</v>
      </c>
      <c r="BG348" s="148">
        <f>IF(N348="zákl. přenesená",J348,0)</f>
        <v>0</v>
      </c>
      <c r="BH348" s="148">
        <f>IF(N348="sníž. přenesená",J348,0)</f>
        <v>0</v>
      </c>
      <c r="BI348" s="148">
        <f>IF(N348="nulová",J348,0)</f>
        <v>0</v>
      </c>
      <c r="BJ348" s="19" t="s">
        <v>83</v>
      </c>
      <c r="BK348" s="148">
        <f>ROUND(I348*H348,2)</f>
        <v>0</v>
      </c>
      <c r="BL348" s="19" t="s">
        <v>218</v>
      </c>
      <c r="BM348" s="147" t="s">
        <v>446</v>
      </c>
    </row>
    <row r="349" spans="1:47" s="2" customFormat="1" ht="68.25">
      <c r="A349" s="31"/>
      <c r="B349" s="32"/>
      <c r="C349" s="31"/>
      <c r="D349" s="150" t="s">
        <v>270</v>
      </c>
      <c r="E349" s="31"/>
      <c r="F349" s="163" t="s">
        <v>447</v>
      </c>
      <c r="G349" s="31"/>
      <c r="H349" s="31"/>
      <c r="I349" s="31"/>
      <c r="J349" s="31"/>
      <c r="K349" s="31"/>
      <c r="L349" s="32"/>
      <c r="M349" s="164"/>
      <c r="N349" s="165"/>
      <c r="O349" s="52"/>
      <c r="P349" s="52"/>
      <c r="Q349" s="52"/>
      <c r="R349" s="52"/>
      <c r="S349" s="52"/>
      <c r="T349" s="53"/>
      <c r="U349" s="31"/>
      <c r="V349" s="31"/>
      <c r="W349" s="31"/>
      <c r="X349" s="31"/>
      <c r="Y349" s="31"/>
      <c r="Z349" s="31"/>
      <c r="AA349" s="31"/>
      <c r="AB349" s="31"/>
      <c r="AC349" s="31"/>
      <c r="AD349" s="31"/>
      <c r="AE349" s="31"/>
      <c r="AT349" s="19" t="s">
        <v>270</v>
      </c>
      <c r="AU349" s="19" t="s">
        <v>85</v>
      </c>
    </row>
    <row r="350" spans="2:51" s="13" customFormat="1" ht="12">
      <c r="B350" s="149"/>
      <c r="D350" s="150" t="s">
        <v>154</v>
      </c>
      <c r="E350" s="151" t="s">
        <v>3</v>
      </c>
      <c r="F350" s="152" t="s">
        <v>448</v>
      </c>
      <c r="H350" s="151" t="s">
        <v>3</v>
      </c>
      <c r="L350" s="149"/>
      <c r="M350" s="153"/>
      <c r="N350" s="154"/>
      <c r="O350" s="154"/>
      <c r="P350" s="154"/>
      <c r="Q350" s="154"/>
      <c r="R350" s="154"/>
      <c r="S350" s="154"/>
      <c r="T350" s="155"/>
      <c r="AT350" s="151" t="s">
        <v>154</v>
      </c>
      <c r="AU350" s="151" t="s">
        <v>85</v>
      </c>
      <c r="AV350" s="13" t="s">
        <v>83</v>
      </c>
      <c r="AW350" s="13" t="s">
        <v>37</v>
      </c>
      <c r="AX350" s="13" t="s">
        <v>75</v>
      </c>
      <c r="AY350" s="151" t="s">
        <v>144</v>
      </c>
    </row>
    <row r="351" spans="2:51" s="14" customFormat="1" ht="12">
      <c r="B351" s="156"/>
      <c r="D351" s="150" t="s">
        <v>154</v>
      </c>
      <c r="E351" s="157" t="s">
        <v>3</v>
      </c>
      <c r="F351" s="158" t="s">
        <v>223</v>
      </c>
      <c r="H351" s="159">
        <v>18</v>
      </c>
      <c r="L351" s="156"/>
      <c r="M351" s="160"/>
      <c r="N351" s="161"/>
      <c r="O351" s="161"/>
      <c r="P351" s="161"/>
      <c r="Q351" s="161"/>
      <c r="R351" s="161"/>
      <c r="S351" s="161"/>
      <c r="T351" s="162"/>
      <c r="AT351" s="157" t="s">
        <v>154</v>
      </c>
      <c r="AU351" s="157" t="s">
        <v>85</v>
      </c>
      <c r="AV351" s="14" t="s">
        <v>85</v>
      </c>
      <c r="AW351" s="14" t="s">
        <v>37</v>
      </c>
      <c r="AX351" s="14" t="s">
        <v>83</v>
      </c>
      <c r="AY351" s="157" t="s">
        <v>144</v>
      </c>
    </row>
    <row r="352" spans="1:65" s="2" customFormat="1" ht="114.95" customHeight="1">
      <c r="A352" s="31"/>
      <c r="B352" s="136"/>
      <c r="C352" s="173" t="s">
        <v>449</v>
      </c>
      <c r="D352" s="173" t="s">
        <v>174</v>
      </c>
      <c r="E352" s="174" t="s">
        <v>450</v>
      </c>
      <c r="F352" s="175" t="s">
        <v>451</v>
      </c>
      <c r="G352" s="176" t="s">
        <v>156</v>
      </c>
      <c r="H352" s="177">
        <v>19</v>
      </c>
      <c r="I352" s="178"/>
      <c r="J352" s="178">
        <f>ROUND(I352*H352,2)</f>
        <v>0</v>
      </c>
      <c r="K352" s="175" t="s">
        <v>151</v>
      </c>
      <c r="L352" s="179"/>
      <c r="M352" s="180" t="s">
        <v>3</v>
      </c>
      <c r="N352" s="181" t="s">
        <v>46</v>
      </c>
      <c r="O352" s="145">
        <v>0</v>
      </c>
      <c r="P352" s="145">
        <f>O352*H352</f>
        <v>0</v>
      </c>
      <c r="Q352" s="145">
        <v>0</v>
      </c>
      <c r="R352" s="145">
        <f>Q352*H352</f>
        <v>0</v>
      </c>
      <c r="S352" s="145">
        <v>0</v>
      </c>
      <c r="T352" s="146">
        <f>S352*H352</f>
        <v>0</v>
      </c>
      <c r="U352" s="31"/>
      <c r="V352" s="31"/>
      <c r="W352" s="31"/>
      <c r="X352" s="31"/>
      <c r="Y352" s="31"/>
      <c r="Z352" s="31"/>
      <c r="AA352" s="31"/>
      <c r="AB352" s="31"/>
      <c r="AC352" s="31"/>
      <c r="AD352" s="31"/>
      <c r="AE352" s="31"/>
      <c r="AR352" s="147" t="s">
        <v>248</v>
      </c>
      <c r="AT352" s="147" t="s">
        <v>174</v>
      </c>
      <c r="AU352" s="147" t="s">
        <v>85</v>
      </c>
      <c r="AY352" s="19" t="s">
        <v>144</v>
      </c>
      <c r="BE352" s="148">
        <f>IF(N352="základní",J352,0)</f>
        <v>0</v>
      </c>
      <c r="BF352" s="148">
        <f>IF(N352="snížená",J352,0)</f>
        <v>0</v>
      </c>
      <c r="BG352" s="148">
        <f>IF(N352="zákl. přenesená",J352,0)</f>
        <v>0</v>
      </c>
      <c r="BH352" s="148">
        <f>IF(N352="sníž. přenesená",J352,0)</f>
        <v>0</v>
      </c>
      <c r="BI352" s="148">
        <f>IF(N352="nulová",J352,0)</f>
        <v>0</v>
      </c>
      <c r="BJ352" s="19" t="s">
        <v>83</v>
      </c>
      <c r="BK352" s="148">
        <f>ROUND(I352*H352,2)</f>
        <v>0</v>
      </c>
      <c r="BL352" s="19" t="s">
        <v>218</v>
      </c>
      <c r="BM352" s="147" t="s">
        <v>452</v>
      </c>
    </row>
    <row r="353" spans="1:47" s="2" customFormat="1" ht="68.25">
      <c r="A353" s="31"/>
      <c r="B353" s="32"/>
      <c r="C353" s="31"/>
      <c r="D353" s="150" t="s">
        <v>270</v>
      </c>
      <c r="E353" s="31"/>
      <c r="F353" s="163" t="s">
        <v>447</v>
      </c>
      <c r="G353" s="31"/>
      <c r="H353" s="31"/>
      <c r="I353" s="31"/>
      <c r="J353" s="31"/>
      <c r="K353" s="31"/>
      <c r="L353" s="32"/>
      <c r="M353" s="164"/>
      <c r="N353" s="165"/>
      <c r="O353" s="52"/>
      <c r="P353" s="52"/>
      <c r="Q353" s="52"/>
      <c r="R353" s="52"/>
      <c r="S353" s="52"/>
      <c r="T353" s="53"/>
      <c r="U353" s="31"/>
      <c r="V353" s="31"/>
      <c r="W353" s="31"/>
      <c r="X353" s="31"/>
      <c r="Y353" s="31"/>
      <c r="Z353" s="31"/>
      <c r="AA353" s="31"/>
      <c r="AB353" s="31"/>
      <c r="AC353" s="31"/>
      <c r="AD353" s="31"/>
      <c r="AE353" s="31"/>
      <c r="AT353" s="19" t="s">
        <v>270</v>
      </c>
      <c r="AU353" s="19" t="s">
        <v>85</v>
      </c>
    </row>
    <row r="354" spans="2:51" s="13" customFormat="1" ht="12">
      <c r="B354" s="149"/>
      <c r="D354" s="150" t="s">
        <v>154</v>
      </c>
      <c r="E354" s="151" t="s">
        <v>3</v>
      </c>
      <c r="F354" s="152" t="s">
        <v>448</v>
      </c>
      <c r="H354" s="151" t="s">
        <v>3</v>
      </c>
      <c r="L354" s="149"/>
      <c r="M354" s="153"/>
      <c r="N354" s="154"/>
      <c r="O354" s="154"/>
      <c r="P354" s="154"/>
      <c r="Q354" s="154"/>
      <c r="R354" s="154"/>
      <c r="S354" s="154"/>
      <c r="T354" s="155"/>
      <c r="AT354" s="151" t="s">
        <v>154</v>
      </c>
      <c r="AU354" s="151" t="s">
        <v>85</v>
      </c>
      <c r="AV354" s="13" t="s">
        <v>83</v>
      </c>
      <c r="AW354" s="13" t="s">
        <v>37</v>
      </c>
      <c r="AX354" s="13" t="s">
        <v>75</v>
      </c>
      <c r="AY354" s="151" t="s">
        <v>144</v>
      </c>
    </row>
    <row r="355" spans="2:51" s="14" customFormat="1" ht="12">
      <c r="B355" s="156"/>
      <c r="D355" s="150" t="s">
        <v>154</v>
      </c>
      <c r="E355" s="157" t="s">
        <v>3</v>
      </c>
      <c r="F355" s="158" t="s">
        <v>224</v>
      </c>
      <c r="H355" s="159">
        <v>19</v>
      </c>
      <c r="L355" s="156"/>
      <c r="M355" s="160"/>
      <c r="N355" s="161"/>
      <c r="O355" s="161"/>
      <c r="P355" s="161"/>
      <c r="Q355" s="161"/>
      <c r="R355" s="161"/>
      <c r="S355" s="161"/>
      <c r="T355" s="162"/>
      <c r="AT355" s="157" t="s">
        <v>154</v>
      </c>
      <c r="AU355" s="157" t="s">
        <v>85</v>
      </c>
      <c r="AV355" s="14" t="s">
        <v>85</v>
      </c>
      <c r="AW355" s="14" t="s">
        <v>37</v>
      </c>
      <c r="AX355" s="14" t="s">
        <v>83</v>
      </c>
      <c r="AY355" s="157" t="s">
        <v>144</v>
      </c>
    </row>
    <row r="356" spans="1:65" s="2" customFormat="1" ht="101.25" customHeight="1">
      <c r="A356" s="31"/>
      <c r="B356" s="136"/>
      <c r="C356" s="173" t="s">
        <v>453</v>
      </c>
      <c r="D356" s="173" t="s">
        <v>174</v>
      </c>
      <c r="E356" s="174" t="s">
        <v>454</v>
      </c>
      <c r="F356" s="175" t="s">
        <v>455</v>
      </c>
      <c r="G356" s="176" t="s">
        <v>156</v>
      </c>
      <c r="H356" s="177">
        <v>1</v>
      </c>
      <c r="I356" s="178"/>
      <c r="J356" s="178">
        <f>ROUND(I356*H356,2)</f>
        <v>0</v>
      </c>
      <c r="K356" s="175" t="s">
        <v>151</v>
      </c>
      <c r="L356" s="179"/>
      <c r="M356" s="180" t="s">
        <v>3</v>
      </c>
      <c r="N356" s="181" t="s">
        <v>46</v>
      </c>
      <c r="O356" s="145">
        <v>0</v>
      </c>
      <c r="P356" s="145">
        <f>O356*H356</f>
        <v>0</v>
      </c>
      <c r="Q356" s="145">
        <v>0</v>
      </c>
      <c r="R356" s="145">
        <f>Q356*H356</f>
        <v>0</v>
      </c>
      <c r="S356" s="145">
        <v>0</v>
      </c>
      <c r="T356" s="146">
        <f>S356*H356</f>
        <v>0</v>
      </c>
      <c r="U356" s="31"/>
      <c r="V356" s="31"/>
      <c r="W356" s="31"/>
      <c r="X356" s="31"/>
      <c r="Y356" s="31"/>
      <c r="Z356" s="31"/>
      <c r="AA356" s="31"/>
      <c r="AB356" s="31"/>
      <c r="AC356" s="31"/>
      <c r="AD356" s="31"/>
      <c r="AE356" s="31"/>
      <c r="AR356" s="147" t="s">
        <v>248</v>
      </c>
      <c r="AT356" s="147" t="s">
        <v>174</v>
      </c>
      <c r="AU356" s="147" t="s">
        <v>85</v>
      </c>
      <c r="AY356" s="19" t="s">
        <v>144</v>
      </c>
      <c r="BE356" s="148">
        <f>IF(N356="základní",J356,0)</f>
        <v>0</v>
      </c>
      <c r="BF356" s="148">
        <f>IF(N356="snížená",J356,0)</f>
        <v>0</v>
      </c>
      <c r="BG356" s="148">
        <f>IF(N356="zákl. přenesená",J356,0)</f>
        <v>0</v>
      </c>
      <c r="BH356" s="148">
        <f>IF(N356="sníž. přenesená",J356,0)</f>
        <v>0</v>
      </c>
      <c r="BI356" s="148">
        <f>IF(N356="nulová",J356,0)</f>
        <v>0</v>
      </c>
      <c r="BJ356" s="19" t="s">
        <v>83</v>
      </c>
      <c r="BK356" s="148">
        <f>ROUND(I356*H356,2)</f>
        <v>0</v>
      </c>
      <c r="BL356" s="19" t="s">
        <v>218</v>
      </c>
      <c r="BM356" s="147" t="s">
        <v>456</v>
      </c>
    </row>
    <row r="357" spans="1:47" s="2" customFormat="1" ht="48.75">
      <c r="A357" s="31"/>
      <c r="B357" s="32"/>
      <c r="C357" s="31"/>
      <c r="D357" s="150" t="s">
        <v>270</v>
      </c>
      <c r="E357" s="31"/>
      <c r="F357" s="163" t="s">
        <v>457</v>
      </c>
      <c r="G357" s="31"/>
      <c r="H357" s="31"/>
      <c r="I357" s="31"/>
      <c r="J357" s="31"/>
      <c r="K357" s="31"/>
      <c r="L357" s="32"/>
      <c r="M357" s="164"/>
      <c r="N357" s="165"/>
      <c r="O357" s="52"/>
      <c r="P357" s="52"/>
      <c r="Q357" s="52"/>
      <c r="R357" s="52"/>
      <c r="S357" s="52"/>
      <c r="T357" s="53"/>
      <c r="U357" s="31"/>
      <c r="V357" s="31"/>
      <c r="W357" s="31"/>
      <c r="X357" s="31"/>
      <c r="Y357" s="31"/>
      <c r="Z357" s="31"/>
      <c r="AA357" s="31"/>
      <c r="AB357" s="31"/>
      <c r="AC357" s="31"/>
      <c r="AD357" s="31"/>
      <c r="AE357" s="31"/>
      <c r="AT357" s="19" t="s">
        <v>270</v>
      </c>
      <c r="AU357" s="19" t="s">
        <v>85</v>
      </c>
    </row>
    <row r="358" spans="2:51" s="13" customFormat="1" ht="12">
      <c r="B358" s="149"/>
      <c r="D358" s="150" t="s">
        <v>154</v>
      </c>
      <c r="E358" s="151" t="s">
        <v>3</v>
      </c>
      <c r="F358" s="152" t="s">
        <v>448</v>
      </c>
      <c r="H358" s="151" t="s">
        <v>3</v>
      </c>
      <c r="L358" s="149"/>
      <c r="M358" s="153"/>
      <c r="N358" s="154"/>
      <c r="O358" s="154"/>
      <c r="P358" s="154"/>
      <c r="Q358" s="154"/>
      <c r="R358" s="154"/>
      <c r="S358" s="154"/>
      <c r="T358" s="155"/>
      <c r="AT358" s="151" t="s">
        <v>154</v>
      </c>
      <c r="AU358" s="151" t="s">
        <v>85</v>
      </c>
      <c r="AV358" s="13" t="s">
        <v>83</v>
      </c>
      <c r="AW358" s="13" t="s">
        <v>37</v>
      </c>
      <c r="AX358" s="13" t="s">
        <v>75</v>
      </c>
      <c r="AY358" s="151" t="s">
        <v>144</v>
      </c>
    </row>
    <row r="359" spans="2:51" s="14" customFormat="1" ht="12">
      <c r="B359" s="156"/>
      <c r="D359" s="150" t="s">
        <v>154</v>
      </c>
      <c r="E359" s="157" t="s">
        <v>3</v>
      </c>
      <c r="F359" s="158" t="s">
        <v>83</v>
      </c>
      <c r="H359" s="159">
        <v>1</v>
      </c>
      <c r="L359" s="156"/>
      <c r="M359" s="160"/>
      <c r="N359" s="161"/>
      <c r="O359" s="161"/>
      <c r="P359" s="161"/>
      <c r="Q359" s="161"/>
      <c r="R359" s="161"/>
      <c r="S359" s="161"/>
      <c r="T359" s="162"/>
      <c r="AT359" s="157" t="s">
        <v>154</v>
      </c>
      <c r="AU359" s="157" t="s">
        <v>85</v>
      </c>
      <c r="AV359" s="14" t="s">
        <v>85</v>
      </c>
      <c r="AW359" s="14" t="s">
        <v>37</v>
      </c>
      <c r="AX359" s="14" t="s">
        <v>83</v>
      </c>
      <c r="AY359" s="157" t="s">
        <v>144</v>
      </c>
    </row>
    <row r="360" spans="1:65" s="2" customFormat="1" ht="37.9" customHeight="1">
      <c r="A360" s="31"/>
      <c r="B360" s="136"/>
      <c r="C360" s="137" t="s">
        <v>458</v>
      </c>
      <c r="D360" s="137" t="s">
        <v>147</v>
      </c>
      <c r="E360" s="138" t="s">
        <v>459</v>
      </c>
      <c r="F360" s="139" t="s">
        <v>460</v>
      </c>
      <c r="G360" s="140" t="s">
        <v>156</v>
      </c>
      <c r="H360" s="141">
        <v>27</v>
      </c>
      <c r="I360" s="142"/>
      <c r="J360" s="142">
        <f>ROUND(I360*H360,2)</f>
        <v>0</v>
      </c>
      <c r="K360" s="139" t="s">
        <v>157</v>
      </c>
      <c r="L360" s="32"/>
      <c r="M360" s="143" t="s">
        <v>3</v>
      </c>
      <c r="N360" s="144" t="s">
        <v>46</v>
      </c>
      <c r="O360" s="145">
        <v>1.682</v>
      </c>
      <c r="P360" s="145">
        <f>O360*H360</f>
        <v>45.414</v>
      </c>
      <c r="Q360" s="145">
        <v>0</v>
      </c>
      <c r="R360" s="145">
        <f>Q360*H360</f>
        <v>0</v>
      </c>
      <c r="S360" s="145">
        <v>0</v>
      </c>
      <c r="T360" s="146">
        <f>S360*H360</f>
        <v>0</v>
      </c>
      <c r="U360" s="31"/>
      <c r="V360" s="31"/>
      <c r="W360" s="31"/>
      <c r="X360" s="31"/>
      <c r="Y360" s="31"/>
      <c r="Z360" s="31"/>
      <c r="AA360" s="31"/>
      <c r="AB360" s="31"/>
      <c r="AC360" s="31"/>
      <c r="AD360" s="31"/>
      <c r="AE360" s="31"/>
      <c r="AR360" s="147" t="s">
        <v>218</v>
      </c>
      <c r="AT360" s="147" t="s">
        <v>147</v>
      </c>
      <c r="AU360" s="147" t="s">
        <v>85</v>
      </c>
      <c r="AY360" s="19" t="s">
        <v>144</v>
      </c>
      <c r="BE360" s="148">
        <f>IF(N360="základní",J360,0)</f>
        <v>0</v>
      </c>
      <c r="BF360" s="148">
        <f>IF(N360="snížená",J360,0)</f>
        <v>0</v>
      </c>
      <c r="BG360" s="148">
        <f>IF(N360="zákl. přenesená",J360,0)</f>
        <v>0</v>
      </c>
      <c r="BH360" s="148">
        <f>IF(N360="sníž. přenesená",J360,0)</f>
        <v>0</v>
      </c>
      <c r="BI360" s="148">
        <f>IF(N360="nulová",J360,0)</f>
        <v>0</v>
      </c>
      <c r="BJ360" s="19" t="s">
        <v>83</v>
      </c>
      <c r="BK360" s="148">
        <f>ROUND(I360*H360,2)</f>
        <v>0</v>
      </c>
      <c r="BL360" s="19" t="s">
        <v>218</v>
      </c>
      <c r="BM360" s="147" t="s">
        <v>461</v>
      </c>
    </row>
    <row r="361" spans="1:47" s="2" customFormat="1" ht="136.5">
      <c r="A361" s="31"/>
      <c r="B361" s="32"/>
      <c r="C361" s="31"/>
      <c r="D361" s="150" t="s">
        <v>158</v>
      </c>
      <c r="E361" s="31"/>
      <c r="F361" s="163" t="s">
        <v>462</v>
      </c>
      <c r="G361" s="31"/>
      <c r="H361" s="31"/>
      <c r="I361" s="31"/>
      <c r="J361" s="31"/>
      <c r="K361" s="31"/>
      <c r="L361" s="32"/>
      <c r="M361" s="164"/>
      <c r="N361" s="165"/>
      <c r="O361" s="52"/>
      <c r="P361" s="52"/>
      <c r="Q361" s="52"/>
      <c r="R361" s="52"/>
      <c r="S361" s="52"/>
      <c r="T361" s="53"/>
      <c r="U361" s="31"/>
      <c r="V361" s="31"/>
      <c r="W361" s="31"/>
      <c r="X361" s="31"/>
      <c r="Y361" s="31"/>
      <c r="Z361" s="31"/>
      <c r="AA361" s="31"/>
      <c r="AB361" s="31"/>
      <c r="AC361" s="31"/>
      <c r="AD361" s="31"/>
      <c r="AE361" s="31"/>
      <c r="AT361" s="19" t="s">
        <v>158</v>
      </c>
      <c r="AU361" s="19" t="s">
        <v>85</v>
      </c>
    </row>
    <row r="362" spans="1:47" s="2" customFormat="1" ht="29.25">
      <c r="A362" s="31"/>
      <c r="B362" s="32"/>
      <c r="C362" s="31"/>
      <c r="D362" s="150" t="s">
        <v>270</v>
      </c>
      <c r="E362" s="31"/>
      <c r="F362" s="163" t="s">
        <v>463</v>
      </c>
      <c r="G362" s="31"/>
      <c r="H362" s="31"/>
      <c r="I362" s="31"/>
      <c r="J362" s="31"/>
      <c r="K362" s="31"/>
      <c r="L362" s="32"/>
      <c r="M362" s="164"/>
      <c r="N362" s="165"/>
      <c r="O362" s="52"/>
      <c r="P362" s="52"/>
      <c r="Q362" s="52"/>
      <c r="R362" s="52"/>
      <c r="S362" s="52"/>
      <c r="T362" s="53"/>
      <c r="U362" s="31"/>
      <c r="V362" s="31"/>
      <c r="W362" s="31"/>
      <c r="X362" s="31"/>
      <c r="Y362" s="31"/>
      <c r="Z362" s="31"/>
      <c r="AA362" s="31"/>
      <c r="AB362" s="31"/>
      <c r="AC362" s="31"/>
      <c r="AD362" s="31"/>
      <c r="AE362" s="31"/>
      <c r="AT362" s="19" t="s">
        <v>270</v>
      </c>
      <c r="AU362" s="19" t="s">
        <v>85</v>
      </c>
    </row>
    <row r="363" spans="1:65" s="2" customFormat="1" ht="76.35" customHeight="1">
      <c r="A363" s="31"/>
      <c r="B363" s="136"/>
      <c r="C363" s="173" t="s">
        <v>464</v>
      </c>
      <c r="D363" s="173" t="s">
        <v>174</v>
      </c>
      <c r="E363" s="174" t="s">
        <v>1896</v>
      </c>
      <c r="F363" s="175" t="s">
        <v>466</v>
      </c>
      <c r="G363" s="176" t="s">
        <v>156</v>
      </c>
      <c r="H363" s="177">
        <f>H366</f>
        <v>1</v>
      </c>
      <c r="I363" s="281"/>
      <c r="J363" s="178">
        <f>ROUND(I363*H363,2)</f>
        <v>0</v>
      </c>
      <c r="K363" s="175" t="s">
        <v>151</v>
      </c>
      <c r="L363" s="179"/>
      <c r="M363" s="180" t="s">
        <v>3</v>
      </c>
      <c r="N363" s="181" t="s">
        <v>46</v>
      </c>
      <c r="O363" s="145">
        <v>0</v>
      </c>
      <c r="P363" s="145">
        <f>O363*H363</f>
        <v>0</v>
      </c>
      <c r="Q363" s="145">
        <v>0</v>
      </c>
      <c r="R363" s="145">
        <f>Q363*H363</f>
        <v>0</v>
      </c>
      <c r="S363" s="145">
        <v>0</v>
      </c>
      <c r="T363" s="146">
        <f>S363*H363</f>
        <v>0</v>
      </c>
      <c r="U363" s="31"/>
      <c r="V363" s="275"/>
      <c r="W363" s="275"/>
      <c r="X363" s="31"/>
      <c r="Y363" s="31"/>
      <c r="Z363" s="31"/>
      <c r="AA363" s="31"/>
      <c r="AB363" s="31"/>
      <c r="AC363" s="31"/>
      <c r="AD363" s="31"/>
      <c r="AE363" s="31"/>
      <c r="AR363" s="147" t="s">
        <v>248</v>
      </c>
      <c r="AT363" s="147" t="s">
        <v>174</v>
      </c>
      <c r="AU363" s="147" t="s">
        <v>85</v>
      </c>
      <c r="AY363" s="19" t="s">
        <v>144</v>
      </c>
      <c r="BE363" s="148">
        <f>IF(N363="základní",J363,0)</f>
        <v>0</v>
      </c>
      <c r="BF363" s="148">
        <f>IF(N363="snížená",J363,0)</f>
        <v>0</v>
      </c>
      <c r="BG363" s="148">
        <f>IF(N363="zákl. přenesená",J363,0)</f>
        <v>0</v>
      </c>
      <c r="BH363" s="148">
        <f>IF(N363="sníž. přenesená",J363,0)</f>
        <v>0</v>
      </c>
      <c r="BI363" s="148">
        <f>IF(N363="nulová",J363,0)</f>
        <v>0</v>
      </c>
      <c r="BJ363" s="19" t="s">
        <v>83</v>
      </c>
      <c r="BK363" s="148">
        <f>ROUND(I363*H363,2)</f>
        <v>0</v>
      </c>
      <c r="BL363" s="19" t="s">
        <v>218</v>
      </c>
      <c r="BM363" s="147" t="s">
        <v>467</v>
      </c>
    </row>
    <row r="364" spans="1:47" s="2" customFormat="1" ht="58.5">
      <c r="A364" s="31"/>
      <c r="B364" s="32"/>
      <c r="C364" s="31"/>
      <c r="D364" s="150" t="s">
        <v>270</v>
      </c>
      <c r="E364" s="31"/>
      <c r="F364" s="163" t="s">
        <v>468</v>
      </c>
      <c r="G364" s="31"/>
      <c r="H364" s="31"/>
      <c r="I364" s="279"/>
      <c r="J364" s="31"/>
      <c r="K364" s="31"/>
      <c r="L364" s="32"/>
      <c r="M364" s="164"/>
      <c r="N364" s="165"/>
      <c r="O364" s="52"/>
      <c r="P364" s="52"/>
      <c r="Q364" s="52"/>
      <c r="R364" s="52"/>
      <c r="S364" s="52"/>
      <c r="T364" s="53"/>
      <c r="U364" s="31"/>
      <c r="V364" s="31"/>
      <c r="W364" s="31"/>
      <c r="X364" s="31"/>
      <c r="Y364" s="31"/>
      <c r="Z364" s="31"/>
      <c r="AA364" s="31"/>
      <c r="AB364" s="31"/>
      <c r="AC364" s="31"/>
      <c r="AD364" s="31"/>
      <c r="AE364" s="31"/>
      <c r="AT364" s="19" t="s">
        <v>270</v>
      </c>
      <c r="AU364" s="19" t="s">
        <v>85</v>
      </c>
    </row>
    <row r="365" spans="2:51" s="13" customFormat="1" ht="12">
      <c r="B365" s="149"/>
      <c r="D365" s="150" t="s">
        <v>154</v>
      </c>
      <c r="E365" s="151" t="s">
        <v>3</v>
      </c>
      <c r="F365" s="152" t="s">
        <v>469</v>
      </c>
      <c r="H365" s="151" t="s">
        <v>3</v>
      </c>
      <c r="I365" s="282"/>
      <c r="L365" s="149"/>
      <c r="M365" s="153"/>
      <c r="N365" s="154"/>
      <c r="O365" s="154"/>
      <c r="P365" s="154"/>
      <c r="Q365" s="154"/>
      <c r="R365" s="154"/>
      <c r="S365" s="154"/>
      <c r="T365" s="155"/>
      <c r="AT365" s="151" t="s">
        <v>154</v>
      </c>
      <c r="AU365" s="151" t="s">
        <v>85</v>
      </c>
      <c r="AV365" s="13" t="s">
        <v>83</v>
      </c>
      <c r="AW365" s="13" t="s">
        <v>37</v>
      </c>
      <c r="AX365" s="13" t="s">
        <v>75</v>
      </c>
      <c r="AY365" s="151" t="s">
        <v>144</v>
      </c>
    </row>
    <row r="366" spans="2:51" s="14" customFormat="1" ht="12">
      <c r="B366" s="156"/>
      <c r="D366" s="150" t="s">
        <v>154</v>
      </c>
      <c r="E366" s="157" t="s">
        <v>3</v>
      </c>
      <c r="F366" s="158">
        <v>1</v>
      </c>
      <c r="H366" s="159">
        <v>1</v>
      </c>
      <c r="I366" s="280"/>
      <c r="L366" s="156"/>
      <c r="M366" s="160"/>
      <c r="N366" s="161"/>
      <c r="O366" s="161"/>
      <c r="P366" s="161"/>
      <c r="Q366" s="161"/>
      <c r="R366" s="161"/>
      <c r="S366" s="161"/>
      <c r="T366" s="162"/>
      <c r="AT366" s="157" t="s">
        <v>154</v>
      </c>
      <c r="AU366" s="157" t="s">
        <v>85</v>
      </c>
      <c r="AV366" s="14" t="s">
        <v>85</v>
      </c>
      <c r="AW366" s="14" t="s">
        <v>37</v>
      </c>
      <c r="AX366" s="14" t="s">
        <v>83</v>
      </c>
      <c r="AY366" s="157" t="s">
        <v>144</v>
      </c>
    </row>
    <row r="367" spans="1:65" s="2" customFormat="1" ht="76.35" customHeight="1">
      <c r="A367" s="31"/>
      <c r="B367" s="136"/>
      <c r="C367" s="173" t="s">
        <v>470</v>
      </c>
      <c r="D367" s="173" t="s">
        <v>174</v>
      </c>
      <c r="E367" s="174" t="s">
        <v>1897</v>
      </c>
      <c r="F367" s="175" t="s">
        <v>472</v>
      </c>
      <c r="G367" s="176" t="s">
        <v>156</v>
      </c>
      <c r="H367" s="177">
        <f>H370</f>
        <v>3</v>
      </c>
      <c r="I367" s="281"/>
      <c r="J367" s="178">
        <f>ROUND(I367*H367,2)</f>
        <v>0</v>
      </c>
      <c r="K367" s="175" t="s">
        <v>151</v>
      </c>
      <c r="L367" s="179"/>
      <c r="M367" s="180" t="s">
        <v>3</v>
      </c>
      <c r="N367" s="181" t="s">
        <v>46</v>
      </c>
      <c r="O367" s="145">
        <v>0</v>
      </c>
      <c r="P367" s="145">
        <f>O367*H367</f>
        <v>0</v>
      </c>
      <c r="Q367" s="145">
        <v>0</v>
      </c>
      <c r="R367" s="145">
        <f>Q367*H367</f>
        <v>0</v>
      </c>
      <c r="S367" s="145">
        <v>0</v>
      </c>
      <c r="T367" s="146">
        <f>S367*H367</f>
        <v>0</v>
      </c>
      <c r="U367" s="31"/>
      <c r="V367" s="275"/>
      <c r="W367" s="275"/>
      <c r="X367" s="31"/>
      <c r="Y367" s="31"/>
      <c r="Z367" s="31"/>
      <c r="AA367" s="31"/>
      <c r="AB367" s="31"/>
      <c r="AC367" s="31"/>
      <c r="AD367" s="31"/>
      <c r="AE367" s="31"/>
      <c r="AR367" s="147" t="s">
        <v>248</v>
      </c>
      <c r="AT367" s="147" t="s">
        <v>174</v>
      </c>
      <c r="AU367" s="147" t="s">
        <v>85</v>
      </c>
      <c r="AY367" s="19" t="s">
        <v>144</v>
      </c>
      <c r="BE367" s="148">
        <f>IF(N367="základní",J367,0)</f>
        <v>0</v>
      </c>
      <c r="BF367" s="148">
        <f>IF(N367="snížená",J367,0)</f>
        <v>0</v>
      </c>
      <c r="BG367" s="148">
        <f>IF(N367="zákl. přenesená",J367,0)</f>
        <v>0</v>
      </c>
      <c r="BH367" s="148">
        <f>IF(N367="sníž. přenesená",J367,0)</f>
        <v>0</v>
      </c>
      <c r="BI367" s="148">
        <f>IF(N367="nulová",J367,0)</f>
        <v>0</v>
      </c>
      <c r="BJ367" s="19" t="s">
        <v>83</v>
      </c>
      <c r="BK367" s="148">
        <f>ROUND(I367*H367,2)</f>
        <v>0</v>
      </c>
      <c r="BL367" s="19" t="s">
        <v>218</v>
      </c>
      <c r="BM367" s="147" t="s">
        <v>473</v>
      </c>
    </row>
    <row r="368" spans="1:47" s="2" customFormat="1" ht="58.5">
      <c r="A368" s="31"/>
      <c r="B368" s="32"/>
      <c r="C368" s="31"/>
      <c r="D368" s="150" t="s">
        <v>270</v>
      </c>
      <c r="E368" s="31"/>
      <c r="F368" s="163" t="s">
        <v>468</v>
      </c>
      <c r="G368" s="31"/>
      <c r="H368" s="31"/>
      <c r="I368" s="279"/>
      <c r="J368" s="31"/>
      <c r="K368" s="31"/>
      <c r="L368" s="32"/>
      <c r="M368" s="164"/>
      <c r="N368" s="165"/>
      <c r="O368" s="52"/>
      <c r="P368" s="52"/>
      <c r="Q368" s="52"/>
      <c r="R368" s="52"/>
      <c r="S368" s="52"/>
      <c r="T368" s="53"/>
      <c r="U368" s="31"/>
      <c r="V368" s="31"/>
      <c r="W368" s="31"/>
      <c r="X368" s="31"/>
      <c r="Y368" s="31"/>
      <c r="Z368" s="31"/>
      <c r="AA368" s="31"/>
      <c r="AB368" s="31"/>
      <c r="AC368" s="31"/>
      <c r="AD368" s="31"/>
      <c r="AE368" s="31"/>
      <c r="AT368" s="19" t="s">
        <v>270</v>
      </c>
      <c r="AU368" s="19" t="s">
        <v>85</v>
      </c>
    </row>
    <row r="369" spans="2:51" s="13" customFormat="1" ht="12">
      <c r="B369" s="149"/>
      <c r="D369" s="150" t="s">
        <v>154</v>
      </c>
      <c r="E369" s="151" t="s">
        <v>3</v>
      </c>
      <c r="F369" s="152" t="s">
        <v>469</v>
      </c>
      <c r="H369" s="151" t="s">
        <v>3</v>
      </c>
      <c r="I369" s="282"/>
      <c r="L369" s="149"/>
      <c r="M369" s="153"/>
      <c r="N369" s="154"/>
      <c r="O369" s="154"/>
      <c r="P369" s="154"/>
      <c r="Q369" s="154"/>
      <c r="R369" s="154"/>
      <c r="S369" s="154"/>
      <c r="T369" s="155"/>
      <c r="AT369" s="151" t="s">
        <v>154</v>
      </c>
      <c r="AU369" s="151" t="s">
        <v>85</v>
      </c>
      <c r="AV369" s="13" t="s">
        <v>83</v>
      </c>
      <c r="AW369" s="13" t="s">
        <v>37</v>
      </c>
      <c r="AX369" s="13" t="s">
        <v>75</v>
      </c>
      <c r="AY369" s="151" t="s">
        <v>144</v>
      </c>
    </row>
    <row r="370" spans="2:51" s="14" customFormat="1" ht="12">
      <c r="B370" s="156"/>
      <c r="D370" s="150" t="s">
        <v>154</v>
      </c>
      <c r="E370" s="157" t="s">
        <v>3</v>
      </c>
      <c r="F370" s="158">
        <v>3</v>
      </c>
      <c r="H370" s="159">
        <f>F370</f>
        <v>3</v>
      </c>
      <c r="I370" s="280"/>
      <c r="L370" s="156"/>
      <c r="M370" s="160"/>
      <c r="N370" s="161"/>
      <c r="O370" s="161"/>
      <c r="P370" s="161"/>
      <c r="Q370" s="161"/>
      <c r="R370" s="161"/>
      <c r="S370" s="161"/>
      <c r="T370" s="162"/>
      <c r="AT370" s="157" t="s">
        <v>154</v>
      </c>
      <c r="AU370" s="157" t="s">
        <v>85</v>
      </c>
      <c r="AV370" s="14" t="s">
        <v>85</v>
      </c>
      <c r="AW370" s="14" t="s">
        <v>37</v>
      </c>
      <c r="AX370" s="14" t="s">
        <v>83</v>
      </c>
      <c r="AY370" s="157" t="s">
        <v>144</v>
      </c>
    </row>
    <row r="371" spans="1:65" s="2" customFormat="1" ht="62.65" customHeight="1">
      <c r="A371" s="31"/>
      <c r="B371" s="136"/>
      <c r="C371" s="173" t="s">
        <v>474</v>
      </c>
      <c r="D371" s="173" t="s">
        <v>174</v>
      </c>
      <c r="E371" s="174" t="s">
        <v>471</v>
      </c>
      <c r="F371" s="175" t="s">
        <v>476</v>
      </c>
      <c r="G371" s="176" t="s">
        <v>156</v>
      </c>
      <c r="H371" s="177">
        <v>8</v>
      </c>
      <c r="I371" s="281"/>
      <c r="J371" s="178">
        <f>ROUND(I371*H371,2)</f>
        <v>0</v>
      </c>
      <c r="K371" s="175" t="s">
        <v>151</v>
      </c>
      <c r="L371" s="179"/>
      <c r="M371" s="180" t="s">
        <v>3</v>
      </c>
      <c r="N371" s="181" t="s">
        <v>46</v>
      </c>
      <c r="O371" s="145">
        <v>0</v>
      </c>
      <c r="P371" s="145">
        <f>O371*H371</f>
        <v>0</v>
      </c>
      <c r="Q371" s="145">
        <v>0</v>
      </c>
      <c r="R371" s="145">
        <f>Q371*H371</f>
        <v>0</v>
      </c>
      <c r="S371" s="145">
        <v>0</v>
      </c>
      <c r="T371" s="146">
        <f>S371*H371</f>
        <v>0</v>
      </c>
      <c r="U371" s="31"/>
      <c r="V371" s="275"/>
      <c r="W371" s="275"/>
      <c r="X371" s="31"/>
      <c r="Y371" s="31"/>
      <c r="Z371" s="31"/>
      <c r="AA371" s="31"/>
      <c r="AB371" s="31"/>
      <c r="AC371" s="31"/>
      <c r="AD371" s="31"/>
      <c r="AE371" s="31"/>
      <c r="AR371" s="147" t="s">
        <v>248</v>
      </c>
      <c r="AT371" s="147" t="s">
        <v>174</v>
      </c>
      <c r="AU371" s="147" t="s">
        <v>85</v>
      </c>
      <c r="AY371" s="19" t="s">
        <v>144</v>
      </c>
      <c r="BE371" s="148">
        <f>IF(N371="základní",J371,0)</f>
        <v>0</v>
      </c>
      <c r="BF371" s="148">
        <f>IF(N371="snížená",J371,0)</f>
        <v>0</v>
      </c>
      <c r="BG371" s="148">
        <f>IF(N371="zákl. přenesená",J371,0)</f>
        <v>0</v>
      </c>
      <c r="BH371" s="148">
        <f>IF(N371="sníž. přenesená",J371,0)</f>
        <v>0</v>
      </c>
      <c r="BI371" s="148">
        <f>IF(N371="nulová",J371,0)</f>
        <v>0</v>
      </c>
      <c r="BJ371" s="19" t="s">
        <v>83</v>
      </c>
      <c r="BK371" s="148">
        <f>ROUND(I371*H371,2)</f>
        <v>0</v>
      </c>
      <c r="BL371" s="19" t="s">
        <v>218</v>
      </c>
      <c r="BM371" s="147" t="s">
        <v>477</v>
      </c>
    </row>
    <row r="372" spans="1:47" s="2" customFormat="1" ht="58.5">
      <c r="A372" s="31"/>
      <c r="B372" s="32"/>
      <c r="C372" s="31"/>
      <c r="D372" s="150" t="s">
        <v>270</v>
      </c>
      <c r="E372" s="31"/>
      <c r="F372" s="163" t="s">
        <v>478</v>
      </c>
      <c r="G372" s="31"/>
      <c r="H372" s="31"/>
      <c r="I372" s="279"/>
      <c r="J372" s="31"/>
      <c r="K372" s="31"/>
      <c r="L372" s="32"/>
      <c r="M372" s="164"/>
      <c r="N372" s="165"/>
      <c r="O372" s="52"/>
      <c r="P372" s="52"/>
      <c r="Q372" s="52"/>
      <c r="R372" s="52"/>
      <c r="S372" s="52"/>
      <c r="T372" s="53"/>
      <c r="U372" s="31"/>
      <c r="V372" s="31"/>
      <c r="W372" s="31"/>
      <c r="X372" s="31"/>
      <c r="Y372" s="31"/>
      <c r="Z372" s="31"/>
      <c r="AA372" s="31"/>
      <c r="AB372" s="31"/>
      <c r="AC372" s="31"/>
      <c r="AD372" s="31"/>
      <c r="AE372" s="31"/>
      <c r="AT372" s="19" t="s">
        <v>270</v>
      </c>
      <c r="AU372" s="19" t="s">
        <v>85</v>
      </c>
    </row>
    <row r="373" spans="2:51" s="13" customFormat="1" ht="12">
      <c r="B373" s="149"/>
      <c r="D373" s="150" t="s">
        <v>154</v>
      </c>
      <c r="E373" s="151" t="s">
        <v>3</v>
      </c>
      <c r="F373" s="152" t="s">
        <v>469</v>
      </c>
      <c r="H373" s="151" t="s">
        <v>3</v>
      </c>
      <c r="I373" s="282"/>
      <c r="L373" s="149"/>
      <c r="M373" s="153"/>
      <c r="N373" s="154"/>
      <c r="O373" s="154"/>
      <c r="P373" s="154"/>
      <c r="Q373" s="154"/>
      <c r="R373" s="154"/>
      <c r="S373" s="154"/>
      <c r="T373" s="155"/>
      <c r="AT373" s="151" t="s">
        <v>154</v>
      </c>
      <c r="AU373" s="151" t="s">
        <v>85</v>
      </c>
      <c r="AV373" s="13" t="s">
        <v>83</v>
      </c>
      <c r="AW373" s="13" t="s">
        <v>37</v>
      </c>
      <c r="AX373" s="13" t="s">
        <v>75</v>
      </c>
      <c r="AY373" s="151" t="s">
        <v>144</v>
      </c>
    </row>
    <row r="374" spans="2:51" s="14" customFormat="1" ht="12">
      <c r="B374" s="156"/>
      <c r="D374" s="150" t="s">
        <v>154</v>
      </c>
      <c r="E374" s="157" t="s">
        <v>3</v>
      </c>
      <c r="F374" s="158">
        <v>8</v>
      </c>
      <c r="H374" s="159">
        <v>8</v>
      </c>
      <c r="I374" s="280"/>
      <c r="L374" s="156"/>
      <c r="M374" s="160"/>
      <c r="N374" s="161"/>
      <c r="O374" s="161"/>
      <c r="P374" s="161"/>
      <c r="Q374" s="161"/>
      <c r="R374" s="161"/>
      <c r="S374" s="161"/>
      <c r="T374" s="162"/>
      <c r="AT374" s="157" t="s">
        <v>154</v>
      </c>
      <c r="AU374" s="157" t="s">
        <v>85</v>
      </c>
      <c r="AV374" s="14" t="s">
        <v>85</v>
      </c>
      <c r="AW374" s="14" t="s">
        <v>37</v>
      </c>
      <c r="AX374" s="14" t="s">
        <v>83</v>
      </c>
      <c r="AY374" s="157" t="s">
        <v>144</v>
      </c>
    </row>
    <row r="375" spans="1:65" s="2" customFormat="1" ht="62.65" customHeight="1">
      <c r="A375" s="31"/>
      <c r="B375" s="136"/>
      <c r="C375" s="173" t="s">
        <v>479</v>
      </c>
      <c r="D375" s="173" t="s">
        <v>174</v>
      </c>
      <c r="E375" s="174" t="s">
        <v>465</v>
      </c>
      <c r="F375" s="175" t="s">
        <v>481</v>
      </c>
      <c r="G375" s="176" t="s">
        <v>156</v>
      </c>
      <c r="H375" s="177">
        <v>5</v>
      </c>
      <c r="I375" s="281"/>
      <c r="J375" s="178">
        <f>ROUND(I375*H375,2)</f>
        <v>0</v>
      </c>
      <c r="K375" s="175" t="s">
        <v>151</v>
      </c>
      <c r="L375" s="179"/>
      <c r="M375" s="180" t="s">
        <v>3</v>
      </c>
      <c r="N375" s="181" t="s">
        <v>46</v>
      </c>
      <c r="O375" s="145">
        <v>0</v>
      </c>
      <c r="P375" s="145">
        <f>O375*H375</f>
        <v>0</v>
      </c>
      <c r="Q375" s="145">
        <v>0</v>
      </c>
      <c r="R375" s="145">
        <f>Q375*H375</f>
        <v>0</v>
      </c>
      <c r="S375" s="145">
        <v>0</v>
      </c>
      <c r="T375" s="146">
        <f>S375*H375</f>
        <v>0</v>
      </c>
      <c r="U375" s="31"/>
      <c r="V375" s="31"/>
      <c r="W375" s="31"/>
      <c r="X375" s="31"/>
      <c r="Y375" s="31"/>
      <c r="Z375" s="31"/>
      <c r="AA375" s="31"/>
      <c r="AB375" s="31"/>
      <c r="AC375" s="31"/>
      <c r="AD375" s="31"/>
      <c r="AE375" s="31"/>
      <c r="AR375" s="147" t="s">
        <v>248</v>
      </c>
      <c r="AT375" s="147" t="s">
        <v>174</v>
      </c>
      <c r="AU375" s="147" t="s">
        <v>85</v>
      </c>
      <c r="AY375" s="19" t="s">
        <v>144</v>
      </c>
      <c r="BE375" s="148">
        <f>IF(N375="základní",J375,0)</f>
        <v>0</v>
      </c>
      <c r="BF375" s="148">
        <f>IF(N375="snížená",J375,0)</f>
        <v>0</v>
      </c>
      <c r="BG375" s="148">
        <f>IF(N375="zákl. přenesená",J375,0)</f>
        <v>0</v>
      </c>
      <c r="BH375" s="148">
        <f>IF(N375="sníž. přenesená",J375,0)</f>
        <v>0</v>
      </c>
      <c r="BI375" s="148">
        <f>IF(N375="nulová",J375,0)</f>
        <v>0</v>
      </c>
      <c r="BJ375" s="19" t="s">
        <v>83</v>
      </c>
      <c r="BK375" s="148">
        <f>ROUND(I375*H375,2)</f>
        <v>0</v>
      </c>
      <c r="BL375" s="19" t="s">
        <v>218</v>
      </c>
      <c r="BM375" s="147" t="s">
        <v>482</v>
      </c>
    </row>
    <row r="376" spans="1:47" s="2" customFormat="1" ht="58.5">
      <c r="A376" s="31"/>
      <c r="B376" s="32"/>
      <c r="C376" s="31"/>
      <c r="D376" s="150" t="s">
        <v>270</v>
      </c>
      <c r="E376" s="31"/>
      <c r="F376" s="163" t="s">
        <v>478</v>
      </c>
      <c r="G376" s="31"/>
      <c r="H376" s="31"/>
      <c r="I376" s="279"/>
      <c r="J376" s="31"/>
      <c r="K376" s="31"/>
      <c r="L376" s="32"/>
      <c r="M376" s="164"/>
      <c r="N376" s="165"/>
      <c r="O376" s="52"/>
      <c r="P376" s="52"/>
      <c r="Q376" s="52"/>
      <c r="R376" s="52"/>
      <c r="S376" s="52"/>
      <c r="T376" s="53"/>
      <c r="U376" s="31"/>
      <c r="V376" s="31"/>
      <c r="W376" s="31"/>
      <c r="X376" s="31"/>
      <c r="Y376" s="31"/>
      <c r="Z376" s="31"/>
      <c r="AA376" s="31"/>
      <c r="AB376" s="31"/>
      <c r="AC376" s="31"/>
      <c r="AD376" s="31"/>
      <c r="AE376" s="31"/>
      <c r="AT376" s="19" t="s">
        <v>270</v>
      </c>
      <c r="AU376" s="19" t="s">
        <v>85</v>
      </c>
    </row>
    <row r="377" spans="2:51" s="13" customFormat="1" ht="12">
      <c r="B377" s="149"/>
      <c r="D377" s="150" t="s">
        <v>154</v>
      </c>
      <c r="E377" s="151" t="s">
        <v>3</v>
      </c>
      <c r="F377" s="152" t="s">
        <v>469</v>
      </c>
      <c r="H377" s="151" t="s">
        <v>3</v>
      </c>
      <c r="I377" s="282"/>
      <c r="L377" s="149"/>
      <c r="M377" s="153"/>
      <c r="N377" s="154"/>
      <c r="O377" s="154"/>
      <c r="P377" s="154"/>
      <c r="Q377" s="154"/>
      <c r="R377" s="154"/>
      <c r="S377" s="154"/>
      <c r="T377" s="155"/>
      <c r="AT377" s="151" t="s">
        <v>154</v>
      </c>
      <c r="AU377" s="151" t="s">
        <v>85</v>
      </c>
      <c r="AV377" s="13" t="s">
        <v>83</v>
      </c>
      <c r="AW377" s="13" t="s">
        <v>37</v>
      </c>
      <c r="AX377" s="13" t="s">
        <v>75</v>
      </c>
      <c r="AY377" s="151" t="s">
        <v>144</v>
      </c>
    </row>
    <row r="378" spans="2:51" s="14" customFormat="1" ht="12">
      <c r="B378" s="156"/>
      <c r="D378" s="150" t="s">
        <v>154</v>
      </c>
      <c r="E378" s="157" t="s">
        <v>3</v>
      </c>
      <c r="F378" s="158">
        <v>5</v>
      </c>
      <c r="H378" s="159">
        <v>5</v>
      </c>
      <c r="I378" s="280"/>
      <c r="L378" s="156"/>
      <c r="M378" s="160"/>
      <c r="N378" s="161"/>
      <c r="O378" s="161"/>
      <c r="P378" s="161"/>
      <c r="Q378" s="161"/>
      <c r="R378" s="161"/>
      <c r="S378" s="161"/>
      <c r="T378" s="162"/>
      <c r="AT378" s="157" t="s">
        <v>154</v>
      </c>
      <c r="AU378" s="157" t="s">
        <v>85</v>
      </c>
      <c r="AV378" s="14" t="s">
        <v>85</v>
      </c>
      <c r="AW378" s="14" t="s">
        <v>37</v>
      </c>
      <c r="AX378" s="14" t="s">
        <v>83</v>
      </c>
      <c r="AY378" s="157" t="s">
        <v>144</v>
      </c>
    </row>
    <row r="379" spans="1:65" s="2" customFormat="1" ht="62.65" customHeight="1">
      <c r="A379" s="31"/>
      <c r="B379" s="136"/>
      <c r="C379" s="173" t="s">
        <v>483</v>
      </c>
      <c r="D379" s="173" t="s">
        <v>174</v>
      </c>
      <c r="E379" s="174" t="s">
        <v>480</v>
      </c>
      <c r="F379" s="175" t="s">
        <v>485</v>
      </c>
      <c r="G379" s="176" t="s">
        <v>156</v>
      </c>
      <c r="H379" s="177">
        <v>1</v>
      </c>
      <c r="I379" s="281"/>
      <c r="J379" s="178">
        <f>ROUND(I379*H379,2)</f>
        <v>0</v>
      </c>
      <c r="K379" s="175" t="s">
        <v>151</v>
      </c>
      <c r="L379" s="179"/>
      <c r="M379" s="180" t="s">
        <v>3</v>
      </c>
      <c r="N379" s="181" t="s">
        <v>46</v>
      </c>
      <c r="O379" s="145">
        <v>0</v>
      </c>
      <c r="P379" s="145">
        <f>O379*H379</f>
        <v>0</v>
      </c>
      <c r="Q379" s="145">
        <v>0</v>
      </c>
      <c r="R379" s="145">
        <f>Q379*H379</f>
        <v>0</v>
      </c>
      <c r="S379" s="145">
        <v>0</v>
      </c>
      <c r="T379" s="146">
        <f>S379*H379</f>
        <v>0</v>
      </c>
      <c r="U379" s="31"/>
      <c r="V379" s="275"/>
      <c r="W379" s="275"/>
      <c r="X379" s="31"/>
      <c r="Y379" s="31"/>
      <c r="Z379" s="31"/>
      <c r="AA379" s="31"/>
      <c r="AB379" s="31"/>
      <c r="AC379" s="31"/>
      <c r="AD379" s="31"/>
      <c r="AE379" s="31"/>
      <c r="AR379" s="147" t="s">
        <v>248</v>
      </c>
      <c r="AT379" s="147" t="s">
        <v>174</v>
      </c>
      <c r="AU379" s="147" t="s">
        <v>85</v>
      </c>
      <c r="AY379" s="19" t="s">
        <v>144</v>
      </c>
      <c r="BE379" s="148">
        <f>IF(N379="základní",J379,0)</f>
        <v>0</v>
      </c>
      <c r="BF379" s="148">
        <f>IF(N379="snížená",J379,0)</f>
        <v>0</v>
      </c>
      <c r="BG379" s="148">
        <f>IF(N379="zákl. přenesená",J379,0)</f>
        <v>0</v>
      </c>
      <c r="BH379" s="148">
        <f>IF(N379="sníž. přenesená",J379,0)</f>
        <v>0</v>
      </c>
      <c r="BI379" s="148">
        <f>IF(N379="nulová",J379,0)</f>
        <v>0</v>
      </c>
      <c r="BJ379" s="19" t="s">
        <v>83</v>
      </c>
      <c r="BK379" s="148">
        <f>ROUND(I379*H379,2)</f>
        <v>0</v>
      </c>
      <c r="BL379" s="19" t="s">
        <v>218</v>
      </c>
      <c r="BM379" s="147" t="s">
        <v>486</v>
      </c>
    </row>
    <row r="380" spans="1:47" s="2" customFormat="1" ht="58.5">
      <c r="A380" s="31"/>
      <c r="B380" s="32"/>
      <c r="C380" s="31"/>
      <c r="D380" s="150" t="s">
        <v>270</v>
      </c>
      <c r="E380" s="31"/>
      <c r="F380" s="163" t="s">
        <v>487</v>
      </c>
      <c r="G380" s="31"/>
      <c r="H380" s="31"/>
      <c r="I380" s="279"/>
      <c r="J380" s="31"/>
      <c r="K380" s="31"/>
      <c r="L380" s="32"/>
      <c r="M380" s="164"/>
      <c r="N380" s="165"/>
      <c r="O380" s="52"/>
      <c r="P380" s="52"/>
      <c r="Q380" s="52"/>
      <c r="R380" s="52"/>
      <c r="S380" s="52"/>
      <c r="T380" s="53"/>
      <c r="U380" s="31"/>
      <c r="V380" s="31"/>
      <c r="W380" s="31"/>
      <c r="X380" s="31"/>
      <c r="Y380" s="31"/>
      <c r="Z380" s="31"/>
      <c r="AA380" s="31"/>
      <c r="AB380" s="31"/>
      <c r="AC380" s="31"/>
      <c r="AD380" s="31"/>
      <c r="AE380" s="31"/>
      <c r="AT380" s="19" t="s">
        <v>270</v>
      </c>
      <c r="AU380" s="19" t="s">
        <v>85</v>
      </c>
    </row>
    <row r="381" spans="2:51" s="13" customFormat="1" ht="12">
      <c r="B381" s="149"/>
      <c r="D381" s="150" t="s">
        <v>154</v>
      </c>
      <c r="E381" s="151" t="s">
        <v>3</v>
      </c>
      <c r="F381" s="152" t="s">
        <v>469</v>
      </c>
      <c r="H381" s="151" t="s">
        <v>3</v>
      </c>
      <c r="I381" s="282"/>
      <c r="L381" s="149"/>
      <c r="M381" s="153"/>
      <c r="N381" s="154"/>
      <c r="O381" s="154"/>
      <c r="P381" s="154"/>
      <c r="Q381" s="154"/>
      <c r="R381" s="154"/>
      <c r="S381" s="154"/>
      <c r="T381" s="155"/>
      <c r="AT381" s="151" t="s">
        <v>154</v>
      </c>
      <c r="AU381" s="151" t="s">
        <v>85</v>
      </c>
      <c r="AV381" s="13" t="s">
        <v>83</v>
      </c>
      <c r="AW381" s="13" t="s">
        <v>37</v>
      </c>
      <c r="AX381" s="13" t="s">
        <v>75</v>
      </c>
      <c r="AY381" s="151" t="s">
        <v>144</v>
      </c>
    </row>
    <row r="382" spans="2:51" s="14" customFormat="1" ht="12">
      <c r="B382" s="156"/>
      <c r="D382" s="150" t="s">
        <v>154</v>
      </c>
      <c r="E382" s="157" t="s">
        <v>3</v>
      </c>
      <c r="F382" s="158">
        <v>1</v>
      </c>
      <c r="H382" s="159">
        <v>1</v>
      </c>
      <c r="I382" s="280"/>
      <c r="L382" s="156"/>
      <c r="M382" s="160"/>
      <c r="N382" s="161"/>
      <c r="O382" s="161"/>
      <c r="P382" s="161"/>
      <c r="Q382" s="161"/>
      <c r="R382" s="161"/>
      <c r="S382" s="161"/>
      <c r="T382" s="162"/>
      <c r="AT382" s="157" t="s">
        <v>154</v>
      </c>
      <c r="AU382" s="157" t="s">
        <v>85</v>
      </c>
      <c r="AV382" s="14" t="s">
        <v>85</v>
      </c>
      <c r="AW382" s="14" t="s">
        <v>37</v>
      </c>
      <c r="AX382" s="14" t="s">
        <v>83</v>
      </c>
      <c r="AY382" s="157" t="s">
        <v>144</v>
      </c>
    </row>
    <row r="383" spans="1:65" s="2" customFormat="1" ht="62.65" customHeight="1">
      <c r="A383" s="31"/>
      <c r="B383" s="136"/>
      <c r="C383" s="173" t="s">
        <v>488</v>
      </c>
      <c r="D383" s="173" t="s">
        <v>174</v>
      </c>
      <c r="E383" s="174" t="s">
        <v>475</v>
      </c>
      <c r="F383" s="175" t="s">
        <v>490</v>
      </c>
      <c r="G383" s="176" t="s">
        <v>156</v>
      </c>
      <c r="H383" s="177">
        <v>3</v>
      </c>
      <c r="I383" s="281"/>
      <c r="J383" s="178">
        <f>ROUND(I383*H383,2)</f>
        <v>0</v>
      </c>
      <c r="K383" s="175" t="s">
        <v>151</v>
      </c>
      <c r="L383" s="179"/>
      <c r="M383" s="180" t="s">
        <v>3</v>
      </c>
      <c r="N383" s="181" t="s">
        <v>46</v>
      </c>
      <c r="O383" s="145">
        <v>0</v>
      </c>
      <c r="P383" s="145">
        <f>O383*H383</f>
        <v>0</v>
      </c>
      <c r="Q383" s="145">
        <v>0</v>
      </c>
      <c r="R383" s="145">
        <f>Q383*H383</f>
        <v>0</v>
      </c>
      <c r="S383" s="145">
        <v>0</v>
      </c>
      <c r="T383" s="146">
        <f>S383*H383</f>
        <v>0</v>
      </c>
      <c r="U383" s="31"/>
      <c r="V383" s="275"/>
      <c r="W383" s="275"/>
      <c r="X383" s="31"/>
      <c r="Y383" s="31"/>
      <c r="Z383" s="31"/>
      <c r="AA383" s="31"/>
      <c r="AB383" s="31"/>
      <c r="AC383" s="31"/>
      <c r="AD383" s="31"/>
      <c r="AE383" s="31"/>
      <c r="AR383" s="147" t="s">
        <v>248</v>
      </c>
      <c r="AT383" s="147" t="s">
        <v>174</v>
      </c>
      <c r="AU383" s="147" t="s">
        <v>85</v>
      </c>
      <c r="AY383" s="19" t="s">
        <v>144</v>
      </c>
      <c r="BE383" s="148">
        <f>IF(N383="základní",J383,0)</f>
        <v>0</v>
      </c>
      <c r="BF383" s="148">
        <f>IF(N383="snížená",J383,0)</f>
        <v>0</v>
      </c>
      <c r="BG383" s="148">
        <f>IF(N383="zákl. přenesená",J383,0)</f>
        <v>0</v>
      </c>
      <c r="BH383" s="148">
        <f>IF(N383="sníž. přenesená",J383,0)</f>
        <v>0</v>
      </c>
      <c r="BI383" s="148">
        <f>IF(N383="nulová",J383,0)</f>
        <v>0</v>
      </c>
      <c r="BJ383" s="19" t="s">
        <v>83</v>
      </c>
      <c r="BK383" s="148">
        <f>ROUND(I383*H383,2)</f>
        <v>0</v>
      </c>
      <c r="BL383" s="19" t="s">
        <v>218</v>
      </c>
      <c r="BM383" s="147" t="s">
        <v>491</v>
      </c>
    </row>
    <row r="384" spans="1:47" s="2" customFormat="1" ht="58.5">
      <c r="A384" s="31"/>
      <c r="B384" s="32"/>
      <c r="C384" s="31"/>
      <c r="D384" s="150" t="s">
        <v>270</v>
      </c>
      <c r="E384" s="31"/>
      <c r="F384" s="163" t="s">
        <v>487</v>
      </c>
      <c r="G384" s="31"/>
      <c r="H384" s="31"/>
      <c r="I384" s="279"/>
      <c r="J384" s="31"/>
      <c r="K384" s="31"/>
      <c r="L384" s="32"/>
      <c r="M384" s="164"/>
      <c r="N384" s="165"/>
      <c r="O384" s="52"/>
      <c r="P384" s="52"/>
      <c r="Q384" s="52"/>
      <c r="R384" s="52"/>
      <c r="S384" s="52"/>
      <c r="T384" s="53"/>
      <c r="U384" s="31"/>
      <c r="V384" s="31"/>
      <c r="W384" s="31"/>
      <c r="X384" s="31"/>
      <c r="Y384" s="31"/>
      <c r="Z384" s="31"/>
      <c r="AA384" s="31"/>
      <c r="AB384" s="31"/>
      <c r="AC384" s="31"/>
      <c r="AD384" s="31"/>
      <c r="AE384" s="31"/>
      <c r="AT384" s="19" t="s">
        <v>270</v>
      </c>
      <c r="AU384" s="19" t="s">
        <v>85</v>
      </c>
    </row>
    <row r="385" spans="2:51" s="13" customFormat="1" ht="12">
      <c r="B385" s="149"/>
      <c r="D385" s="150" t="s">
        <v>154</v>
      </c>
      <c r="E385" s="151" t="s">
        <v>3</v>
      </c>
      <c r="F385" s="152" t="s">
        <v>469</v>
      </c>
      <c r="H385" s="151" t="s">
        <v>3</v>
      </c>
      <c r="I385" s="282"/>
      <c r="L385" s="149"/>
      <c r="M385" s="153"/>
      <c r="N385" s="154"/>
      <c r="O385" s="154"/>
      <c r="P385" s="154"/>
      <c r="Q385" s="154"/>
      <c r="R385" s="154"/>
      <c r="S385" s="154"/>
      <c r="T385" s="155"/>
      <c r="AT385" s="151" t="s">
        <v>154</v>
      </c>
      <c r="AU385" s="151" t="s">
        <v>85</v>
      </c>
      <c r="AV385" s="13" t="s">
        <v>83</v>
      </c>
      <c r="AW385" s="13" t="s">
        <v>37</v>
      </c>
      <c r="AX385" s="13" t="s">
        <v>75</v>
      </c>
      <c r="AY385" s="151" t="s">
        <v>144</v>
      </c>
    </row>
    <row r="386" spans="2:51" s="14" customFormat="1" ht="12">
      <c r="B386" s="156"/>
      <c r="D386" s="150" t="s">
        <v>154</v>
      </c>
      <c r="E386" s="157" t="s">
        <v>3</v>
      </c>
      <c r="F386" s="158">
        <v>3</v>
      </c>
      <c r="H386" s="159">
        <v>3</v>
      </c>
      <c r="I386" s="280"/>
      <c r="L386" s="156"/>
      <c r="M386" s="160"/>
      <c r="N386" s="161"/>
      <c r="O386" s="161"/>
      <c r="P386" s="161"/>
      <c r="Q386" s="161"/>
      <c r="R386" s="161"/>
      <c r="S386" s="161"/>
      <c r="T386" s="162"/>
      <c r="AT386" s="157" t="s">
        <v>154</v>
      </c>
      <c r="AU386" s="157" t="s">
        <v>85</v>
      </c>
      <c r="AV386" s="14" t="s">
        <v>85</v>
      </c>
      <c r="AW386" s="14" t="s">
        <v>37</v>
      </c>
      <c r="AX386" s="14" t="s">
        <v>83</v>
      </c>
      <c r="AY386" s="157" t="s">
        <v>144</v>
      </c>
    </row>
    <row r="387" spans="1:65" s="2" customFormat="1" ht="62.65" customHeight="1">
      <c r="A387" s="31"/>
      <c r="B387" s="136"/>
      <c r="C387" s="173" t="s">
        <v>492</v>
      </c>
      <c r="D387" s="173" t="s">
        <v>174</v>
      </c>
      <c r="E387" s="174" t="s">
        <v>489</v>
      </c>
      <c r="F387" s="175" t="s">
        <v>493</v>
      </c>
      <c r="G387" s="176" t="s">
        <v>156</v>
      </c>
      <c r="H387" s="177">
        <v>2</v>
      </c>
      <c r="I387" s="281"/>
      <c r="J387" s="178">
        <f>ROUND(I387*H387,2)</f>
        <v>0</v>
      </c>
      <c r="K387" s="175" t="s">
        <v>151</v>
      </c>
      <c r="L387" s="179"/>
      <c r="M387" s="180" t="s">
        <v>3</v>
      </c>
      <c r="N387" s="181" t="s">
        <v>46</v>
      </c>
      <c r="O387" s="145">
        <v>0</v>
      </c>
      <c r="P387" s="145">
        <f>O387*H387</f>
        <v>0</v>
      </c>
      <c r="Q387" s="145">
        <v>0</v>
      </c>
      <c r="R387" s="145">
        <f>Q387*H387</f>
        <v>0</v>
      </c>
      <c r="S387" s="145">
        <v>0</v>
      </c>
      <c r="T387" s="146">
        <f>S387*H387</f>
        <v>0</v>
      </c>
      <c r="U387" s="31"/>
      <c r="V387" s="275"/>
      <c r="W387" s="275"/>
      <c r="X387" s="31"/>
      <c r="Y387" s="31"/>
      <c r="Z387" s="31"/>
      <c r="AA387" s="31"/>
      <c r="AB387" s="31"/>
      <c r="AC387" s="31"/>
      <c r="AD387" s="31"/>
      <c r="AE387" s="31"/>
      <c r="AR387" s="147" t="s">
        <v>248</v>
      </c>
      <c r="AT387" s="147" t="s">
        <v>174</v>
      </c>
      <c r="AU387" s="147" t="s">
        <v>85</v>
      </c>
      <c r="AY387" s="19" t="s">
        <v>144</v>
      </c>
      <c r="BE387" s="148">
        <f>IF(N387="základní",J387,0)</f>
        <v>0</v>
      </c>
      <c r="BF387" s="148">
        <f>IF(N387="snížená",J387,0)</f>
        <v>0</v>
      </c>
      <c r="BG387" s="148">
        <f>IF(N387="zákl. přenesená",J387,0)</f>
        <v>0</v>
      </c>
      <c r="BH387" s="148">
        <f>IF(N387="sníž. přenesená",J387,0)</f>
        <v>0</v>
      </c>
      <c r="BI387" s="148">
        <f>IF(N387="nulová",J387,0)</f>
        <v>0</v>
      </c>
      <c r="BJ387" s="19" t="s">
        <v>83</v>
      </c>
      <c r="BK387" s="148">
        <f>ROUND(I387*H387,2)</f>
        <v>0</v>
      </c>
      <c r="BL387" s="19" t="s">
        <v>218</v>
      </c>
      <c r="BM387" s="147" t="s">
        <v>494</v>
      </c>
    </row>
    <row r="388" spans="1:47" s="2" customFormat="1" ht="58.5">
      <c r="A388" s="31"/>
      <c r="B388" s="32"/>
      <c r="C388" s="31"/>
      <c r="D388" s="150" t="s">
        <v>270</v>
      </c>
      <c r="E388" s="31"/>
      <c r="F388" s="163" t="s">
        <v>495</v>
      </c>
      <c r="G388" s="31"/>
      <c r="H388" s="31"/>
      <c r="I388" s="279"/>
      <c r="J388" s="31"/>
      <c r="K388" s="31"/>
      <c r="L388" s="32"/>
      <c r="M388" s="164"/>
      <c r="N388" s="165"/>
      <c r="O388" s="52"/>
      <c r="P388" s="52"/>
      <c r="Q388" s="52"/>
      <c r="R388" s="52"/>
      <c r="S388" s="52"/>
      <c r="T388" s="53"/>
      <c r="U388" s="31"/>
      <c r="V388" s="31"/>
      <c r="W388" s="31"/>
      <c r="X388" s="31"/>
      <c r="Y388" s="31"/>
      <c r="Z388" s="31"/>
      <c r="AA388" s="31"/>
      <c r="AB388" s="31"/>
      <c r="AC388" s="31"/>
      <c r="AD388" s="31"/>
      <c r="AE388" s="31"/>
      <c r="AT388" s="19" t="s">
        <v>270</v>
      </c>
      <c r="AU388" s="19" t="s">
        <v>85</v>
      </c>
    </row>
    <row r="389" spans="2:51" s="13" customFormat="1" ht="12">
      <c r="B389" s="149"/>
      <c r="D389" s="150" t="s">
        <v>154</v>
      </c>
      <c r="E389" s="151" t="s">
        <v>3</v>
      </c>
      <c r="F389" s="152" t="s">
        <v>469</v>
      </c>
      <c r="H389" s="151" t="s">
        <v>3</v>
      </c>
      <c r="I389" s="282"/>
      <c r="L389" s="149"/>
      <c r="M389" s="153"/>
      <c r="N389" s="154"/>
      <c r="O389" s="154"/>
      <c r="P389" s="154"/>
      <c r="Q389" s="154"/>
      <c r="R389" s="154"/>
      <c r="S389" s="154"/>
      <c r="T389" s="155"/>
      <c r="AT389" s="151" t="s">
        <v>154</v>
      </c>
      <c r="AU389" s="151" t="s">
        <v>85</v>
      </c>
      <c r="AV389" s="13" t="s">
        <v>83</v>
      </c>
      <c r="AW389" s="13" t="s">
        <v>37</v>
      </c>
      <c r="AX389" s="13" t="s">
        <v>75</v>
      </c>
      <c r="AY389" s="151" t="s">
        <v>144</v>
      </c>
    </row>
    <row r="390" spans="2:51" s="14" customFormat="1" ht="12">
      <c r="B390" s="156"/>
      <c r="D390" s="150" t="s">
        <v>154</v>
      </c>
      <c r="E390" s="157" t="s">
        <v>3</v>
      </c>
      <c r="F390" s="158">
        <v>2</v>
      </c>
      <c r="H390" s="159">
        <v>2</v>
      </c>
      <c r="I390" s="280"/>
      <c r="L390" s="156"/>
      <c r="M390" s="160"/>
      <c r="N390" s="161"/>
      <c r="O390" s="161"/>
      <c r="P390" s="161"/>
      <c r="Q390" s="161"/>
      <c r="R390" s="161"/>
      <c r="S390" s="161"/>
      <c r="T390" s="162"/>
      <c r="AT390" s="157" t="s">
        <v>154</v>
      </c>
      <c r="AU390" s="157" t="s">
        <v>85</v>
      </c>
      <c r="AV390" s="14" t="s">
        <v>85</v>
      </c>
      <c r="AW390" s="14" t="s">
        <v>37</v>
      </c>
      <c r="AX390" s="14" t="s">
        <v>83</v>
      </c>
      <c r="AY390" s="157" t="s">
        <v>144</v>
      </c>
    </row>
    <row r="391" spans="1:65" s="2" customFormat="1" ht="62.65" customHeight="1">
      <c r="A391" s="31"/>
      <c r="B391" s="136"/>
      <c r="C391" s="173" t="s">
        <v>496</v>
      </c>
      <c r="D391" s="173" t="s">
        <v>174</v>
      </c>
      <c r="E391" s="174" t="s">
        <v>484</v>
      </c>
      <c r="F391" s="175" t="s">
        <v>497</v>
      </c>
      <c r="G391" s="176" t="s">
        <v>156</v>
      </c>
      <c r="H391" s="177">
        <v>3</v>
      </c>
      <c r="I391" s="281"/>
      <c r="J391" s="178">
        <f>ROUND(I391*H391,2)</f>
        <v>0</v>
      </c>
      <c r="K391" s="175" t="s">
        <v>151</v>
      </c>
      <c r="L391" s="179"/>
      <c r="M391" s="180" t="s">
        <v>3</v>
      </c>
      <c r="N391" s="181" t="s">
        <v>46</v>
      </c>
      <c r="O391" s="145">
        <v>0</v>
      </c>
      <c r="P391" s="145">
        <f>O391*H391</f>
        <v>0</v>
      </c>
      <c r="Q391" s="145">
        <v>0</v>
      </c>
      <c r="R391" s="145">
        <f>Q391*H391</f>
        <v>0</v>
      </c>
      <c r="S391" s="145">
        <v>0</v>
      </c>
      <c r="T391" s="146">
        <f>S391*H391</f>
        <v>0</v>
      </c>
      <c r="U391" s="31"/>
      <c r="V391" s="31"/>
      <c r="W391" s="31"/>
      <c r="X391" s="31"/>
      <c r="Y391" s="31"/>
      <c r="Z391" s="31"/>
      <c r="AA391" s="31"/>
      <c r="AB391" s="31"/>
      <c r="AC391" s="31"/>
      <c r="AD391" s="31"/>
      <c r="AE391" s="31"/>
      <c r="AR391" s="147" t="s">
        <v>248</v>
      </c>
      <c r="AT391" s="147" t="s">
        <v>174</v>
      </c>
      <c r="AU391" s="147" t="s">
        <v>85</v>
      </c>
      <c r="AY391" s="19" t="s">
        <v>144</v>
      </c>
      <c r="BE391" s="148">
        <f>IF(N391="základní",J391,0)</f>
        <v>0</v>
      </c>
      <c r="BF391" s="148">
        <f>IF(N391="snížená",J391,0)</f>
        <v>0</v>
      </c>
      <c r="BG391" s="148">
        <f>IF(N391="zákl. přenesená",J391,0)</f>
        <v>0</v>
      </c>
      <c r="BH391" s="148">
        <f>IF(N391="sníž. přenesená",J391,0)</f>
        <v>0</v>
      </c>
      <c r="BI391" s="148">
        <f>IF(N391="nulová",J391,0)</f>
        <v>0</v>
      </c>
      <c r="BJ391" s="19" t="s">
        <v>83</v>
      </c>
      <c r="BK391" s="148">
        <f>ROUND(I391*H391,2)</f>
        <v>0</v>
      </c>
      <c r="BL391" s="19" t="s">
        <v>218</v>
      </c>
      <c r="BM391" s="147" t="s">
        <v>498</v>
      </c>
    </row>
    <row r="392" spans="1:47" s="2" customFormat="1" ht="58.5">
      <c r="A392" s="31"/>
      <c r="B392" s="32"/>
      <c r="C392" s="31"/>
      <c r="D392" s="150" t="s">
        <v>270</v>
      </c>
      <c r="E392" s="31"/>
      <c r="F392" s="163" t="s">
        <v>495</v>
      </c>
      <c r="G392" s="31"/>
      <c r="H392" s="31"/>
      <c r="I392" s="279"/>
      <c r="J392" s="31"/>
      <c r="K392" s="31"/>
      <c r="L392" s="32"/>
      <c r="M392" s="164"/>
      <c r="N392" s="165"/>
      <c r="O392" s="52"/>
      <c r="P392" s="52"/>
      <c r="Q392" s="52"/>
      <c r="R392" s="52"/>
      <c r="S392" s="52"/>
      <c r="T392" s="53"/>
      <c r="U392" s="31"/>
      <c r="V392" s="31"/>
      <c r="W392" s="31"/>
      <c r="X392" s="31"/>
      <c r="Y392" s="31"/>
      <c r="Z392" s="31"/>
      <c r="AA392" s="31"/>
      <c r="AB392" s="31"/>
      <c r="AC392" s="31"/>
      <c r="AD392" s="31"/>
      <c r="AE392" s="31"/>
      <c r="AT392" s="19" t="s">
        <v>270</v>
      </c>
      <c r="AU392" s="19" t="s">
        <v>85</v>
      </c>
    </row>
    <row r="393" spans="2:51" s="13" customFormat="1" ht="12">
      <c r="B393" s="149"/>
      <c r="D393" s="150" t="s">
        <v>154</v>
      </c>
      <c r="E393" s="151" t="s">
        <v>3</v>
      </c>
      <c r="F393" s="152" t="s">
        <v>469</v>
      </c>
      <c r="H393" s="151" t="s">
        <v>3</v>
      </c>
      <c r="I393" s="282"/>
      <c r="L393" s="149"/>
      <c r="M393" s="153"/>
      <c r="N393" s="154"/>
      <c r="O393" s="154"/>
      <c r="P393" s="154"/>
      <c r="Q393" s="154"/>
      <c r="R393" s="154"/>
      <c r="S393" s="154"/>
      <c r="T393" s="155"/>
      <c r="AT393" s="151" t="s">
        <v>154</v>
      </c>
      <c r="AU393" s="151" t="s">
        <v>85</v>
      </c>
      <c r="AV393" s="13" t="s">
        <v>83</v>
      </c>
      <c r="AW393" s="13" t="s">
        <v>37</v>
      </c>
      <c r="AX393" s="13" t="s">
        <v>75</v>
      </c>
      <c r="AY393" s="151" t="s">
        <v>144</v>
      </c>
    </row>
    <row r="394" spans="2:51" s="14" customFormat="1" ht="12">
      <c r="B394" s="156"/>
      <c r="D394" s="150" t="s">
        <v>154</v>
      </c>
      <c r="E394" s="157" t="s">
        <v>3</v>
      </c>
      <c r="F394" s="158">
        <v>3</v>
      </c>
      <c r="H394" s="159">
        <v>3</v>
      </c>
      <c r="I394" s="280"/>
      <c r="L394" s="156"/>
      <c r="M394" s="160"/>
      <c r="N394" s="161"/>
      <c r="O394" s="161"/>
      <c r="P394" s="161"/>
      <c r="Q394" s="161"/>
      <c r="R394" s="161"/>
      <c r="S394" s="161"/>
      <c r="T394" s="162"/>
      <c r="AT394" s="157" t="s">
        <v>154</v>
      </c>
      <c r="AU394" s="157" t="s">
        <v>85</v>
      </c>
      <c r="AV394" s="14" t="s">
        <v>85</v>
      </c>
      <c r="AW394" s="14" t="s">
        <v>37</v>
      </c>
      <c r="AX394" s="14" t="s">
        <v>83</v>
      </c>
      <c r="AY394" s="157" t="s">
        <v>144</v>
      </c>
    </row>
    <row r="395" spans="1:65" s="2" customFormat="1" ht="37.9" customHeight="1">
      <c r="A395" s="31"/>
      <c r="B395" s="136"/>
      <c r="C395" s="137" t="s">
        <v>499</v>
      </c>
      <c r="D395" s="137" t="s">
        <v>147</v>
      </c>
      <c r="E395" s="138" t="s">
        <v>500</v>
      </c>
      <c r="F395" s="139" t="s">
        <v>501</v>
      </c>
      <c r="G395" s="140" t="s">
        <v>156</v>
      </c>
      <c r="H395" s="141">
        <v>4</v>
      </c>
      <c r="I395" s="278"/>
      <c r="J395" s="142">
        <f>ROUND(I395*H395,2)</f>
        <v>0</v>
      </c>
      <c r="K395" s="139" t="s">
        <v>157</v>
      </c>
      <c r="L395" s="32"/>
      <c r="M395" s="143" t="s">
        <v>3</v>
      </c>
      <c r="N395" s="144" t="s">
        <v>46</v>
      </c>
      <c r="O395" s="145">
        <v>1.825</v>
      </c>
      <c r="P395" s="145">
        <f>O395*H395</f>
        <v>7.3</v>
      </c>
      <c r="Q395" s="145">
        <v>0</v>
      </c>
      <c r="R395" s="145">
        <f>Q395*H395</f>
        <v>0</v>
      </c>
      <c r="S395" s="145">
        <v>0</v>
      </c>
      <c r="T395" s="146">
        <f>S395*H395</f>
        <v>0</v>
      </c>
      <c r="U395" s="31"/>
      <c r="V395" s="31"/>
      <c r="W395" s="31"/>
      <c r="X395" s="31"/>
      <c r="Y395" s="31"/>
      <c r="Z395" s="31"/>
      <c r="AA395" s="31"/>
      <c r="AB395" s="31"/>
      <c r="AC395" s="31"/>
      <c r="AD395" s="31"/>
      <c r="AE395" s="31"/>
      <c r="AR395" s="147" t="s">
        <v>218</v>
      </c>
      <c r="AT395" s="147" t="s">
        <v>147</v>
      </c>
      <c r="AU395" s="147" t="s">
        <v>85</v>
      </c>
      <c r="AY395" s="19" t="s">
        <v>144</v>
      </c>
      <c r="BE395" s="148">
        <f>IF(N395="základní",J395,0)</f>
        <v>0</v>
      </c>
      <c r="BF395" s="148">
        <f>IF(N395="snížená",J395,0)</f>
        <v>0</v>
      </c>
      <c r="BG395" s="148">
        <f>IF(N395="zákl. přenesená",J395,0)</f>
        <v>0</v>
      </c>
      <c r="BH395" s="148">
        <f>IF(N395="sníž. přenesená",J395,0)</f>
        <v>0</v>
      </c>
      <c r="BI395" s="148">
        <f>IF(N395="nulová",J395,0)</f>
        <v>0</v>
      </c>
      <c r="BJ395" s="19" t="s">
        <v>83</v>
      </c>
      <c r="BK395" s="148">
        <f>ROUND(I395*H395,2)</f>
        <v>0</v>
      </c>
      <c r="BL395" s="19" t="s">
        <v>218</v>
      </c>
      <c r="BM395" s="147" t="s">
        <v>502</v>
      </c>
    </row>
    <row r="396" spans="1:47" s="2" customFormat="1" ht="136.5">
      <c r="A396" s="31"/>
      <c r="B396" s="32"/>
      <c r="C396" s="31"/>
      <c r="D396" s="150" t="s">
        <v>158</v>
      </c>
      <c r="E396" s="31"/>
      <c r="F396" s="163" t="s">
        <v>462</v>
      </c>
      <c r="G396" s="31"/>
      <c r="H396" s="31"/>
      <c r="I396" s="279"/>
      <c r="J396" s="31"/>
      <c r="K396" s="31"/>
      <c r="L396" s="32"/>
      <c r="M396" s="164"/>
      <c r="N396" s="165"/>
      <c r="O396" s="52"/>
      <c r="P396" s="52"/>
      <c r="Q396" s="52"/>
      <c r="R396" s="52"/>
      <c r="S396" s="52"/>
      <c r="T396" s="53"/>
      <c r="U396" s="31"/>
      <c r="V396" s="31"/>
      <c r="W396" s="31"/>
      <c r="X396" s="31"/>
      <c r="Y396" s="31"/>
      <c r="Z396" s="31"/>
      <c r="AA396" s="31"/>
      <c r="AB396" s="31"/>
      <c r="AC396" s="31"/>
      <c r="AD396" s="31"/>
      <c r="AE396" s="31"/>
      <c r="AT396" s="19" t="s">
        <v>158</v>
      </c>
      <c r="AU396" s="19" t="s">
        <v>85</v>
      </c>
    </row>
    <row r="397" spans="1:47" s="2" customFormat="1" ht="29.25">
      <c r="A397" s="31"/>
      <c r="B397" s="32"/>
      <c r="C397" s="31"/>
      <c r="D397" s="150" t="s">
        <v>270</v>
      </c>
      <c r="E397" s="31"/>
      <c r="F397" s="163" t="s">
        <v>463</v>
      </c>
      <c r="G397" s="31"/>
      <c r="H397" s="31"/>
      <c r="I397" s="279"/>
      <c r="J397" s="31"/>
      <c r="K397" s="31"/>
      <c r="L397" s="32"/>
      <c r="M397" s="164"/>
      <c r="N397" s="165"/>
      <c r="O397" s="52"/>
      <c r="P397" s="52"/>
      <c r="Q397" s="52"/>
      <c r="R397" s="52"/>
      <c r="S397" s="52"/>
      <c r="T397" s="53"/>
      <c r="U397" s="31"/>
      <c r="V397" s="31"/>
      <c r="W397" s="31"/>
      <c r="X397" s="31"/>
      <c r="Y397" s="31"/>
      <c r="Z397" s="31"/>
      <c r="AA397" s="31"/>
      <c r="AB397" s="31"/>
      <c r="AC397" s="31"/>
      <c r="AD397" s="31"/>
      <c r="AE397" s="31"/>
      <c r="AT397" s="19" t="s">
        <v>270</v>
      </c>
      <c r="AU397" s="19" t="s">
        <v>85</v>
      </c>
    </row>
    <row r="398" spans="1:65" s="2" customFormat="1" ht="76.35" customHeight="1">
      <c r="A398" s="31"/>
      <c r="B398" s="136"/>
      <c r="C398" s="173" t="s">
        <v>503</v>
      </c>
      <c r="D398" s="173" t="s">
        <v>174</v>
      </c>
      <c r="E398" s="174" t="s">
        <v>504</v>
      </c>
      <c r="F398" s="175" t="s">
        <v>505</v>
      </c>
      <c r="G398" s="176" t="s">
        <v>156</v>
      </c>
      <c r="H398" s="177">
        <v>1</v>
      </c>
      <c r="I398" s="281"/>
      <c r="J398" s="178">
        <f>ROUND(I398*H398,2)</f>
        <v>0</v>
      </c>
      <c r="K398" s="175" t="s">
        <v>151</v>
      </c>
      <c r="L398" s="179"/>
      <c r="M398" s="180" t="s">
        <v>3</v>
      </c>
      <c r="N398" s="181" t="s">
        <v>46</v>
      </c>
      <c r="O398" s="145">
        <v>0</v>
      </c>
      <c r="P398" s="145">
        <f>O398*H398</f>
        <v>0</v>
      </c>
      <c r="Q398" s="145">
        <v>0</v>
      </c>
      <c r="R398" s="145">
        <f>Q398*H398</f>
        <v>0</v>
      </c>
      <c r="S398" s="145">
        <v>0</v>
      </c>
      <c r="T398" s="146">
        <f>S398*H398</f>
        <v>0</v>
      </c>
      <c r="U398" s="31"/>
      <c r="V398" s="275"/>
      <c r="W398" s="275"/>
      <c r="X398" s="31"/>
      <c r="Y398" s="31"/>
      <c r="Z398" s="31"/>
      <c r="AA398" s="31"/>
      <c r="AB398" s="31"/>
      <c r="AC398" s="31"/>
      <c r="AD398" s="31"/>
      <c r="AE398" s="31"/>
      <c r="AR398" s="147" t="s">
        <v>248</v>
      </c>
      <c r="AT398" s="147" t="s">
        <v>174</v>
      </c>
      <c r="AU398" s="147" t="s">
        <v>85</v>
      </c>
      <c r="AY398" s="19" t="s">
        <v>144</v>
      </c>
      <c r="BE398" s="148">
        <f>IF(N398="základní",J398,0)</f>
        <v>0</v>
      </c>
      <c r="BF398" s="148">
        <f>IF(N398="snížená",J398,0)</f>
        <v>0</v>
      </c>
      <c r="BG398" s="148">
        <f>IF(N398="zákl. přenesená",J398,0)</f>
        <v>0</v>
      </c>
      <c r="BH398" s="148">
        <f>IF(N398="sníž. přenesená",J398,0)</f>
        <v>0</v>
      </c>
      <c r="BI398" s="148">
        <f>IF(N398="nulová",J398,0)</f>
        <v>0</v>
      </c>
      <c r="BJ398" s="19" t="s">
        <v>83</v>
      </c>
      <c r="BK398" s="148">
        <f>ROUND(I398*H398,2)</f>
        <v>0</v>
      </c>
      <c r="BL398" s="19" t="s">
        <v>218</v>
      </c>
      <c r="BM398" s="147" t="s">
        <v>506</v>
      </c>
    </row>
    <row r="399" spans="1:47" s="2" customFormat="1" ht="58.5">
      <c r="A399" s="31"/>
      <c r="B399" s="32"/>
      <c r="C399" s="31"/>
      <c r="D399" s="150" t="s">
        <v>270</v>
      </c>
      <c r="E399" s="31"/>
      <c r="F399" s="163" t="s">
        <v>507</v>
      </c>
      <c r="G399" s="31"/>
      <c r="H399" s="31"/>
      <c r="I399" s="279"/>
      <c r="J399" s="31"/>
      <c r="K399" s="31"/>
      <c r="L399" s="32"/>
      <c r="M399" s="164"/>
      <c r="N399" s="165"/>
      <c r="O399" s="52"/>
      <c r="P399" s="52"/>
      <c r="Q399" s="52"/>
      <c r="R399" s="52"/>
      <c r="S399" s="52"/>
      <c r="T399" s="53"/>
      <c r="U399" s="31"/>
      <c r="V399" s="31"/>
      <c r="W399" s="31"/>
      <c r="X399" s="31"/>
      <c r="Y399" s="31"/>
      <c r="Z399" s="31"/>
      <c r="AA399" s="31"/>
      <c r="AB399" s="31"/>
      <c r="AC399" s="31"/>
      <c r="AD399" s="31"/>
      <c r="AE399" s="31"/>
      <c r="AT399" s="19" t="s">
        <v>270</v>
      </c>
      <c r="AU399" s="19" t="s">
        <v>85</v>
      </c>
    </row>
    <row r="400" spans="2:51" s="13" customFormat="1" ht="12">
      <c r="B400" s="149"/>
      <c r="D400" s="150" t="s">
        <v>154</v>
      </c>
      <c r="E400" s="151" t="s">
        <v>3</v>
      </c>
      <c r="F400" s="152" t="s">
        <v>469</v>
      </c>
      <c r="H400" s="151" t="s">
        <v>3</v>
      </c>
      <c r="I400" s="282"/>
      <c r="L400" s="149"/>
      <c r="M400" s="153"/>
      <c r="N400" s="154"/>
      <c r="O400" s="154"/>
      <c r="P400" s="154"/>
      <c r="Q400" s="154"/>
      <c r="R400" s="154"/>
      <c r="S400" s="154"/>
      <c r="T400" s="155"/>
      <c r="AT400" s="151" t="s">
        <v>154</v>
      </c>
      <c r="AU400" s="151" t="s">
        <v>85</v>
      </c>
      <c r="AV400" s="13" t="s">
        <v>83</v>
      </c>
      <c r="AW400" s="13" t="s">
        <v>37</v>
      </c>
      <c r="AX400" s="13" t="s">
        <v>75</v>
      </c>
      <c r="AY400" s="151" t="s">
        <v>144</v>
      </c>
    </row>
    <row r="401" spans="2:51" s="14" customFormat="1" ht="12">
      <c r="B401" s="156"/>
      <c r="D401" s="150" t="s">
        <v>154</v>
      </c>
      <c r="E401" s="157" t="s">
        <v>3</v>
      </c>
      <c r="F401" s="158" t="s">
        <v>83</v>
      </c>
      <c r="H401" s="159">
        <v>1</v>
      </c>
      <c r="I401" s="280"/>
      <c r="L401" s="156"/>
      <c r="M401" s="160"/>
      <c r="N401" s="161"/>
      <c r="O401" s="161"/>
      <c r="P401" s="161"/>
      <c r="Q401" s="161"/>
      <c r="R401" s="161"/>
      <c r="S401" s="161"/>
      <c r="T401" s="162"/>
      <c r="AT401" s="157" t="s">
        <v>154</v>
      </c>
      <c r="AU401" s="157" t="s">
        <v>85</v>
      </c>
      <c r="AV401" s="14" t="s">
        <v>85</v>
      </c>
      <c r="AW401" s="14" t="s">
        <v>37</v>
      </c>
      <c r="AX401" s="14" t="s">
        <v>83</v>
      </c>
      <c r="AY401" s="157" t="s">
        <v>144</v>
      </c>
    </row>
    <row r="402" spans="1:65" s="2" customFormat="1" ht="62.65" customHeight="1">
      <c r="A402" s="31"/>
      <c r="B402" s="136"/>
      <c r="C402" s="173" t="s">
        <v>508</v>
      </c>
      <c r="D402" s="173" t="s">
        <v>174</v>
      </c>
      <c r="E402" s="174" t="s">
        <v>509</v>
      </c>
      <c r="F402" s="175" t="s">
        <v>510</v>
      </c>
      <c r="G402" s="176" t="s">
        <v>156</v>
      </c>
      <c r="H402" s="177">
        <v>1</v>
      </c>
      <c r="I402" s="281"/>
      <c r="J402" s="178">
        <f>ROUND(I402*H402,2)</f>
        <v>0</v>
      </c>
      <c r="K402" s="175" t="s">
        <v>151</v>
      </c>
      <c r="L402" s="179"/>
      <c r="M402" s="180" t="s">
        <v>3</v>
      </c>
      <c r="N402" s="181" t="s">
        <v>46</v>
      </c>
      <c r="O402" s="145">
        <v>0</v>
      </c>
      <c r="P402" s="145">
        <f>O402*H402</f>
        <v>0</v>
      </c>
      <c r="Q402" s="145">
        <v>0</v>
      </c>
      <c r="R402" s="145">
        <f>Q402*H402</f>
        <v>0</v>
      </c>
      <c r="S402" s="145">
        <v>0</v>
      </c>
      <c r="T402" s="146">
        <f>S402*H402</f>
        <v>0</v>
      </c>
      <c r="U402" s="31"/>
      <c r="V402" s="31"/>
      <c r="W402" s="31"/>
      <c r="X402" s="31"/>
      <c r="Y402" s="31"/>
      <c r="Z402" s="31"/>
      <c r="AA402" s="31"/>
      <c r="AB402" s="31"/>
      <c r="AC402" s="31"/>
      <c r="AD402" s="31"/>
      <c r="AE402" s="31"/>
      <c r="AR402" s="147" t="s">
        <v>248</v>
      </c>
      <c r="AT402" s="147" t="s">
        <v>174</v>
      </c>
      <c r="AU402" s="147" t="s">
        <v>85</v>
      </c>
      <c r="AY402" s="19" t="s">
        <v>144</v>
      </c>
      <c r="BE402" s="148">
        <f>IF(N402="základní",J402,0)</f>
        <v>0</v>
      </c>
      <c r="BF402" s="148">
        <f>IF(N402="snížená",J402,0)</f>
        <v>0</v>
      </c>
      <c r="BG402" s="148">
        <f>IF(N402="zákl. přenesená",J402,0)</f>
        <v>0</v>
      </c>
      <c r="BH402" s="148">
        <f>IF(N402="sníž. přenesená",J402,0)</f>
        <v>0</v>
      </c>
      <c r="BI402" s="148">
        <f>IF(N402="nulová",J402,0)</f>
        <v>0</v>
      </c>
      <c r="BJ402" s="19" t="s">
        <v>83</v>
      </c>
      <c r="BK402" s="148">
        <f>ROUND(I402*H402,2)</f>
        <v>0</v>
      </c>
      <c r="BL402" s="19" t="s">
        <v>218</v>
      </c>
      <c r="BM402" s="147" t="s">
        <v>511</v>
      </c>
    </row>
    <row r="403" spans="1:47" s="2" customFormat="1" ht="58.5">
      <c r="A403" s="31"/>
      <c r="B403" s="32"/>
      <c r="C403" s="31"/>
      <c r="D403" s="150" t="s">
        <v>270</v>
      </c>
      <c r="E403" s="31"/>
      <c r="F403" s="163" t="s">
        <v>512</v>
      </c>
      <c r="G403" s="31"/>
      <c r="H403" s="31"/>
      <c r="I403" s="279"/>
      <c r="J403" s="31"/>
      <c r="K403" s="31"/>
      <c r="L403" s="32"/>
      <c r="M403" s="164"/>
      <c r="N403" s="165"/>
      <c r="O403" s="52"/>
      <c r="P403" s="52"/>
      <c r="Q403" s="52"/>
      <c r="R403" s="52"/>
      <c r="S403" s="52"/>
      <c r="T403" s="53"/>
      <c r="U403" s="31"/>
      <c r="V403" s="31"/>
      <c r="W403" s="31"/>
      <c r="X403" s="31"/>
      <c r="Y403" s="31"/>
      <c r="Z403" s="31"/>
      <c r="AA403" s="31"/>
      <c r="AB403" s="31"/>
      <c r="AC403" s="31"/>
      <c r="AD403" s="31"/>
      <c r="AE403" s="31"/>
      <c r="AT403" s="19" t="s">
        <v>270</v>
      </c>
      <c r="AU403" s="19" t="s">
        <v>85</v>
      </c>
    </row>
    <row r="404" spans="2:51" s="13" customFormat="1" ht="12">
      <c r="B404" s="149"/>
      <c r="D404" s="150" t="s">
        <v>154</v>
      </c>
      <c r="E404" s="151" t="s">
        <v>3</v>
      </c>
      <c r="F404" s="152" t="s">
        <v>469</v>
      </c>
      <c r="H404" s="151" t="s">
        <v>3</v>
      </c>
      <c r="I404" s="282"/>
      <c r="L404" s="149"/>
      <c r="M404" s="153"/>
      <c r="N404" s="154"/>
      <c r="O404" s="154"/>
      <c r="P404" s="154"/>
      <c r="Q404" s="154"/>
      <c r="R404" s="154"/>
      <c r="S404" s="154"/>
      <c r="T404" s="155"/>
      <c r="AT404" s="151" t="s">
        <v>154</v>
      </c>
      <c r="AU404" s="151" t="s">
        <v>85</v>
      </c>
      <c r="AV404" s="13" t="s">
        <v>83</v>
      </c>
      <c r="AW404" s="13" t="s">
        <v>37</v>
      </c>
      <c r="AX404" s="13" t="s">
        <v>75</v>
      </c>
      <c r="AY404" s="151" t="s">
        <v>144</v>
      </c>
    </row>
    <row r="405" spans="2:51" s="14" customFormat="1" ht="12">
      <c r="B405" s="156"/>
      <c r="D405" s="150" t="s">
        <v>154</v>
      </c>
      <c r="E405" s="157" t="s">
        <v>3</v>
      </c>
      <c r="F405" s="158" t="s">
        <v>83</v>
      </c>
      <c r="H405" s="159">
        <v>1</v>
      </c>
      <c r="I405" s="280"/>
      <c r="L405" s="156"/>
      <c r="M405" s="160"/>
      <c r="N405" s="161"/>
      <c r="O405" s="161"/>
      <c r="P405" s="161"/>
      <c r="Q405" s="161"/>
      <c r="R405" s="161"/>
      <c r="S405" s="161"/>
      <c r="T405" s="162"/>
      <c r="AT405" s="157" t="s">
        <v>154</v>
      </c>
      <c r="AU405" s="157" t="s">
        <v>85</v>
      </c>
      <c r="AV405" s="14" t="s">
        <v>85</v>
      </c>
      <c r="AW405" s="14" t="s">
        <v>37</v>
      </c>
      <c r="AX405" s="14" t="s">
        <v>83</v>
      </c>
      <c r="AY405" s="157" t="s">
        <v>144</v>
      </c>
    </row>
    <row r="406" spans="1:65" s="2" customFormat="1" ht="37.9" customHeight="1">
      <c r="A406" s="31"/>
      <c r="B406" s="136"/>
      <c r="C406" s="137" t="s">
        <v>513</v>
      </c>
      <c r="D406" s="137" t="s">
        <v>147</v>
      </c>
      <c r="E406" s="138" t="s">
        <v>514</v>
      </c>
      <c r="F406" s="139" t="s">
        <v>515</v>
      </c>
      <c r="G406" s="140" t="s">
        <v>156</v>
      </c>
      <c r="H406" s="141">
        <v>1</v>
      </c>
      <c r="I406" s="278"/>
      <c r="J406" s="142">
        <f>ROUND(I406*H406,2)</f>
        <v>0</v>
      </c>
      <c r="K406" s="139" t="s">
        <v>157</v>
      </c>
      <c r="L406" s="32"/>
      <c r="M406" s="143" t="s">
        <v>3</v>
      </c>
      <c r="N406" s="144" t="s">
        <v>46</v>
      </c>
      <c r="O406" s="145">
        <v>1.915</v>
      </c>
      <c r="P406" s="145">
        <f>O406*H406</f>
        <v>1.915</v>
      </c>
      <c r="Q406" s="145">
        <v>0</v>
      </c>
      <c r="R406" s="145">
        <f>Q406*H406</f>
        <v>0</v>
      </c>
      <c r="S406" s="145">
        <v>0</v>
      </c>
      <c r="T406" s="146">
        <f>S406*H406</f>
        <v>0</v>
      </c>
      <c r="U406" s="31"/>
      <c r="V406" s="31"/>
      <c r="W406" s="31"/>
      <c r="X406" s="31"/>
      <c r="Y406" s="31"/>
      <c r="Z406" s="31"/>
      <c r="AA406" s="31"/>
      <c r="AB406" s="31"/>
      <c r="AC406" s="31"/>
      <c r="AD406" s="31"/>
      <c r="AE406" s="31"/>
      <c r="AR406" s="147" t="s">
        <v>218</v>
      </c>
      <c r="AT406" s="147" t="s">
        <v>147</v>
      </c>
      <c r="AU406" s="147" t="s">
        <v>85</v>
      </c>
      <c r="AY406" s="19" t="s">
        <v>144</v>
      </c>
      <c r="BE406" s="148">
        <f>IF(N406="základní",J406,0)</f>
        <v>0</v>
      </c>
      <c r="BF406" s="148">
        <f>IF(N406="snížená",J406,0)</f>
        <v>0</v>
      </c>
      <c r="BG406" s="148">
        <f>IF(N406="zákl. přenesená",J406,0)</f>
        <v>0</v>
      </c>
      <c r="BH406" s="148">
        <f>IF(N406="sníž. přenesená",J406,0)</f>
        <v>0</v>
      </c>
      <c r="BI406" s="148">
        <f>IF(N406="nulová",J406,0)</f>
        <v>0</v>
      </c>
      <c r="BJ406" s="19" t="s">
        <v>83</v>
      </c>
      <c r="BK406" s="148">
        <f>ROUND(I406*H406,2)</f>
        <v>0</v>
      </c>
      <c r="BL406" s="19" t="s">
        <v>218</v>
      </c>
      <c r="BM406" s="147" t="s">
        <v>516</v>
      </c>
    </row>
    <row r="407" spans="1:47" s="2" customFormat="1" ht="136.5">
      <c r="A407" s="31"/>
      <c r="B407" s="32"/>
      <c r="C407" s="31"/>
      <c r="D407" s="150" t="s">
        <v>158</v>
      </c>
      <c r="E407" s="31"/>
      <c r="F407" s="163" t="s">
        <v>462</v>
      </c>
      <c r="G407" s="31"/>
      <c r="H407" s="31"/>
      <c r="I407" s="279"/>
      <c r="J407" s="31"/>
      <c r="K407" s="31"/>
      <c r="L407" s="32"/>
      <c r="M407" s="164"/>
      <c r="N407" s="165"/>
      <c r="O407" s="52"/>
      <c r="P407" s="52"/>
      <c r="Q407" s="52"/>
      <c r="R407" s="52"/>
      <c r="S407" s="52"/>
      <c r="T407" s="53"/>
      <c r="U407" s="31"/>
      <c r="V407" s="31"/>
      <c r="W407" s="31"/>
      <c r="X407" s="31"/>
      <c r="Y407" s="31"/>
      <c r="Z407" s="31"/>
      <c r="AA407" s="31"/>
      <c r="AB407" s="31"/>
      <c r="AC407" s="31"/>
      <c r="AD407" s="31"/>
      <c r="AE407" s="31"/>
      <c r="AT407" s="19" t="s">
        <v>158</v>
      </c>
      <c r="AU407" s="19" t="s">
        <v>85</v>
      </c>
    </row>
    <row r="408" spans="1:47" s="2" customFormat="1" ht="29.25">
      <c r="A408" s="31"/>
      <c r="B408" s="32"/>
      <c r="C408" s="31"/>
      <c r="D408" s="150" t="s">
        <v>270</v>
      </c>
      <c r="E408" s="31"/>
      <c r="F408" s="163" t="s">
        <v>463</v>
      </c>
      <c r="G408" s="31"/>
      <c r="H408" s="31"/>
      <c r="I408" s="279"/>
      <c r="J408" s="31"/>
      <c r="K408" s="31"/>
      <c r="L408" s="32"/>
      <c r="M408" s="164"/>
      <c r="N408" s="165"/>
      <c r="O408" s="52"/>
      <c r="P408" s="52"/>
      <c r="Q408" s="52"/>
      <c r="R408" s="52"/>
      <c r="S408" s="52"/>
      <c r="T408" s="53"/>
      <c r="U408" s="31"/>
      <c r="V408" s="31"/>
      <c r="W408" s="31"/>
      <c r="X408" s="31"/>
      <c r="Y408" s="31"/>
      <c r="Z408" s="31"/>
      <c r="AA408" s="31"/>
      <c r="AB408" s="31"/>
      <c r="AC408" s="31"/>
      <c r="AD408" s="31"/>
      <c r="AE408" s="31"/>
      <c r="AT408" s="19" t="s">
        <v>270</v>
      </c>
      <c r="AU408" s="19" t="s">
        <v>85</v>
      </c>
    </row>
    <row r="409" spans="1:65" s="2" customFormat="1" ht="62.65" customHeight="1">
      <c r="A409" s="31"/>
      <c r="B409" s="136"/>
      <c r="C409" s="173" t="s">
        <v>517</v>
      </c>
      <c r="D409" s="173" t="s">
        <v>174</v>
      </c>
      <c r="E409" s="174" t="s">
        <v>518</v>
      </c>
      <c r="F409" s="175" t="s">
        <v>519</v>
      </c>
      <c r="G409" s="176" t="s">
        <v>156</v>
      </c>
      <c r="H409" s="177">
        <v>1</v>
      </c>
      <c r="I409" s="281"/>
      <c r="J409" s="178">
        <f>ROUND(I409*H409,2)</f>
        <v>0</v>
      </c>
      <c r="K409" s="175" t="s">
        <v>151</v>
      </c>
      <c r="L409" s="179"/>
      <c r="M409" s="180" t="s">
        <v>3</v>
      </c>
      <c r="N409" s="181" t="s">
        <v>46</v>
      </c>
      <c r="O409" s="145">
        <v>0</v>
      </c>
      <c r="P409" s="145">
        <f>O409*H409</f>
        <v>0</v>
      </c>
      <c r="Q409" s="145">
        <v>0</v>
      </c>
      <c r="R409" s="145">
        <f>Q409*H409</f>
        <v>0</v>
      </c>
      <c r="S409" s="145">
        <v>0</v>
      </c>
      <c r="T409" s="146">
        <f>S409*H409</f>
        <v>0</v>
      </c>
      <c r="U409" s="31"/>
      <c r="V409" s="31"/>
      <c r="W409" s="31"/>
      <c r="X409" s="31"/>
      <c r="Y409" s="31"/>
      <c r="Z409" s="31"/>
      <c r="AA409" s="31"/>
      <c r="AB409" s="31"/>
      <c r="AC409" s="31"/>
      <c r="AD409" s="31"/>
      <c r="AE409" s="31"/>
      <c r="AR409" s="147" t="s">
        <v>248</v>
      </c>
      <c r="AT409" s="147" t="s">
        <v>174</v>
      </c>
      <c r="AU409" s="147" t="s">
        <v>85</v>
      </c>
      <c r="AY409" s="19" t="s">
        <v>144</v>
      </c>
      <c r="BE409" s="148">
        <f>IF(N409="základní",J409,0)</f>
        <v>0</v>
      </c>
      <c r="BF409" s="148">
        <f>IF(N409="snížená",J409,0)</f>
        <v>0</v>
      </c>
      <c r="BG409" s="148">
        <f>IF(N409="zákl. přenesená",J409,0)</f>
        <v>0</v>
      </c>
      <c r="BH409" s="148">
        <f>IF(N409="sníž. přenesená",J409,0)</f>
        <v>0</v>
      </c>
      <c r="BI409" s="148">
        <f>IF(N409="nulová",J409,0)</f>
        <v>0</v>
      </c>
      <c r="BJ409" s="19" t="s">
        <v>83</v>
      </c>
      <c r="BK409" s="148">
        <f>ROUND(I409*H409,2)</f>
        <v>0</v>
      </c>
      <c r="BL409" s="19" t="s">
        <v>218</v>
      </c>
      <c r="BM409" s="147" t="s">
        <v>520</v>
      </c>
    </row>
    <row r="410" spans="1:47" s="2" customFormat="1" ht="58.5">
      <c r="A410" s="31"/>
      <c r="B410" s="32"/>
      <c r="C410" s="31"/>
      <c r="D410" s="150" t="s">
        <v>270</v>
      </c>
      <c r="E410" s="31"/>
      <c r="F410" s="163" t="s">
        <v>521</v>
      </c>
      <c r="G410" s="31"/>
      <c r="H410" s="31"/>
      <c r="I410" s="279"/>
      <c r="J410" s="31"/>
      <c r="K410" s="31"/>
      <c r="L410" s="32"/>
      <c r="M410" s="164"/>
      <c r="N410" s="165"/>
      <c r="O410" s="52"/>
      <c r="P410" s="52"/>
      <c r="Q410" s="52"/>
      <c r="R410" s="52"/>
      <c r="S410" s="52"/>
      <c r="T410" s="53"/>
      <c r="U410" s="31"/>
      <c r="V410" s="31"/>
      <c r="W410" s="31"/>
      <c r="X410" s="31"/>
      <c r="Y410" s="31"/>
      <c r="Z410" s="31"/>
      <c r="AA410" s="31"/>
      <c r="AB410" s="31"/>
      <c r="AC410" s="31"/>
      <c r="AD410" s="31"/>
      <c r="AE410" s="31"/>
      <c r="AT410" s="19" t="s">
        <v>270</v>
      </c>
      <c r="AU410" s="19" t="s">
        <v>85</v>
      </c>
    </row>
    <row r="411" spans="2:51" s="13" customFormat="1" ht="12">
      <c r="B411" s="149"/>
      <c r="D411" s="150" t="s">
        <v>154</v>
      </c>
      <c r="E411" s="151" t="s">
        <v>3</v>
      </c>
      <c r="F411" s="152" t="s">
        <v>469</v>
      </c>
      <c r="H411" s="151" t="s">
        <v>3</v>
      </c>
      <c r="I411" s="282"/>
      <c r="L411" s="149"/>
      <c r="M411" s="153"/>
      <c r="N411" s="154"/>
      <c r="O411" s="154"/>
      <c r="P411" s="154"/>
      <c r="Q411" s="154"/>
      <c r="R411" s="154"/>
      <c r="S411" s="154"/>
      <c r="T411" s="155"/>
      <c r="AT411" s="151" t="s">
        <v>154</v>
      </c>
      <c r="AU411" s="151" t="s">
        <v>85</v>
      </c>
      <c r="AV411" s="13" t="s">
        <v>83</v>
      </c>
      <c r="AW411" s="13" t="s">
        <v>37</v>
      </c>
      <c r="AX411" s="13" t="s">
        <v>75</v>
      </c>
      <c r="AY411" s="151" t="s">
        <v>144</v>
      </c>
    </row>
    <row r="412" spans="2:51" s="14" customFormat="1" ht="12">
      <c r="B412" s="156"/>
      <c r="D412" s="150" t="s">
        <v>154</v>
      </c>
      <c r="E412" s="157" t="s">
        <v>3</v>
      </c>
      <c r="F412" s="158" t="s">
        <v>83</v>
      </c>
      <c r="H412" s="159">
        <v>1</v>
      </c>
      <c r="I412" s="280"/>
      <c r="L412" s="156"/>
      <c r="M412" s="160"/>
      <c r="N412" s="161"/>
      <c r="O412" s="161"/>
      <c r="P412" s="161"/>
      <c r="Q412" s="161"/>
      <c r="R412" s="161"/>
      <c r="S412" s="161"/>
      <c r="T412" s="162"/>
      <c r="AT412" s="157" t="s">
        <v>154</v>
      </c>
      <c r="AU412" s="157" t="s">
        <v>85</v>
      </c>
      <c r="AV412" s="14" t="s">
        <v>85</v>
      </c>
      <c r="AW412" s="14" t="s">
        <v>37</v>
      </c>
      <c r="AX412" s="14" t="s">
        <v>83</v>
      </c>
      <c r="AY412" s="157" t="s">
        <v>144</v>
      </c>
    </row>
    <row r="413" spans="1:65" s="2" customFormat="1" ht="37.9" customHeight="1">
      <c r="A413" s="31"/>
      <c r="B413" s="136"/>
      <c r="C413" s="137" t="s">
        <v>522</v>
      </c>
      <c r="D413" s="137" t="s">
        <v>147</v>
      </c>
      <c r="E413" s="138" t="s">
        <v>523</v>
      </c>
      <c r="F413" s="139" t="s">
        <v>524</v>
      </c>
      <c r="G413" s="140" t="s">
        <v>156</v>
      </c>
      <c r="H413" s="141">
        <v>3</v>
      </c>
      <c r="I413" s="278"/>
      <c r="J413" s="142">
        <f>ROUND(I413*H413,2)</f>
        <v>0</v>
      </c>
      <c r="K413" s="139" t="s">
        <v>157</v>
      </c>
      <c r="L413" s="32"/>
      <c r="M413" s="143" t="s">
        <v>3</v>
      </c>
      <c r="N413" s="144" t="s">
        <v>46</v>
      </c>
      <c r="O413" s="145">
        <v>8.159</v>
      </c>
      <c r="P413" s="145">
        <f>O413*H413</f>
        <v>24.477000000000004</v>
      </c>
      <c r="Q413" s="145">
        <v>0.00088</v>
      </c>
      <c r="R413" s="145">
        <f>Q413*H413</f>
        <v>0.00264</v>
      </c>
      <c r="S413" s="145">
        <v>0</v>
      </c>
      <c r="T413" s="146">
        <f>S413*H413</f>
        <v>0</v>
      </c>
      <c r="U413" s="31"/>
      <c r="V413" s="31"/>
      <c r="W413" s="31"/>
      <c r="X413" s="31"/>
      <c r="Y413" s="31"/>
      <c r="Z413" s="31"/>
      <c r="AA413" s="31"/>
      <c r="AB413" s="31"/>
      <c r="AC413" s="31"/>
      <c r="AD413" s="31"/>
      <c r="AE413" s="31"/>
      <c r="AR413" s="147" t="s">
        <v>218</v>
      </c>
      <c r="AT413" s="147" t="s">
        <v>147</v>
      </c>
      <c r="AU413" s="147" t="s">
        <v>85</v>
      </c>
      <c r="AY413" s="19" t="s">
        <v>144</v>
      </c>
      <c r="BE413" s="148">
        <f>IF(N413="základní",J413,0)</f>
        <v>0</v>
      </c>
      <c r="BF413" s="148">
        <f>IF(N413="snížená",J413,0)</f>
        <v>0</v>
      </c>
      <c r="BG413" s="148">
        <f>IF(N413="zákl. přenesená",J413,0)</f>
        <v>0</v>
      </c>
      <c r="BH413" s="148">
        <f>IF(N413="sníž. přenesená",J413,0)</f>
        <v>0</v>
      </c>
      <c r="BI413" s="148">
        <f>IF(N413="nulová",J413,0)</f>
        <v>0</v>
      </c>
      <c r="BJ413" s="19" t="s">
        <v>83</v>
      </c>
      <c r="BK413" s="148">
        <f>ROUND(I413*H413,2)</f>
        <v>0</v>
      </c>
      <c r="BL413" s="19" t="s">
        <v>218</v>
      </c>
      <c r="BM413" s="147" t="s">
        <v>525</v>
      </c>
    </row>
    <row r="414" spans="1:47" s="2" customFormat="1" ht="136.5">
      <c r="A414" s="31"/>
      <c r="B414" s="32"/>
      <c r="C414" s="31"/>
      <c r="D414" s="150" t="s">
        <v>158</v>
      </c>
      <c r="E414" s="31"/>
      <c r="F414" s="163" t="s">
        <v>462</v>
      </c>
      <c r="G414" s="31"/>
      <c r="H414" s="31"/>
      <c r="I414" s="279"/>
      <c r="J414" s="31"/>
      <c r="K414" s="31"/>
      <c r="L414" s="32"/>
      <c r="M414" s="164"/>
      <c r="N414" s="165"/>
      <c r="O414" s="52"/>
      <c r="P414" s="52"/>
      <c r="Q414" s="52"/>
      <c r="R414" s="52"/>
      <c r="S414" s="52"/>
      <c r="T414" s="53"/>
      <c r="U414" s="31"/>
      <c r="V414" s="31"/>
      <c r="W414" s="31"/>
      <c r="X414" s="31"/>
      <c r="Y414" s="31"/>
      <c r="Z414" s="31"/>
      <c r="AA414" s="31"/>
      <c r="AB414" s="31"/>
      <c r="AC414" s="31"/>
      <c r="AD414" s="31"/>
      <c r="AE414" s="31"/>
      <c r="AT414" s="19" t="s">
        <v>158</v>
      </c>
      <c r="AU414" s="19" t="s">
        <v>85</v>
      </c>
    </row>
    <row r="415" spans="1:47" s="2" customFormat="1" ht="29.25">
      <c r="A415" s="31"/>
      <c r="B415" s="32"/>
      <c r="C415" s="31"/>
      <c r="D415" s="150" t="s">
        <v>270</v>
      </c>
      <c r="E415" s="31"/>
      <c r="F415" s="163" t="s">
        <v>463</v>
      </c>
      <c r="G415" s="31"/>
      <c r="H415" s="31"/>
      <c r="I415" s="279"/>
      <c r="J415" s="31"/>
      <c r="K415" s="31"/>
      <c r="L415" s="32"/>
      <c r="M415" s="164"/>
      <c r="N415" s="165"/>
      <c r="O415" s="52"/>
      <c r="P415" s="52"/>
      <c r="Q415" s="52"/>
      <c r="R415" s="52"/>
      <c r="S415" s="52"/>
      <c r="T415" s="53"/>
      <c r="U415" s="31"/>
      <c r="V415" s="31"/>
      <c r="W415" s="31"/>
      <c r="X415" s="31"/>
      <c r="Y415" s="31"/>
      <c r="Z415" s="31"/>
      <c r="AA415" s="31"/>
      <c r="AB415" s="31"/>
      <c r="AC415" s="31"/>
      <c r="AD415" s="31"/>
      <c r="AE415" s="31"/>
      <c r="AT415" s="19" t="s">
        <v>270</v>
      </c>
      <c r="AU415" s="19" t="s">
        <v>85</v>
      </c>
    </row>
    <row r="416" spans="1:65" s="2" customFormat="1" ht="62.65" customHeight="1">
      <c r="A416" s="31"/>
      <c r="B416" s="136"/>
      <c r="C416" s="173" t="s">
        <v>526</v>
      </c>
      <c r="D416" s="173" t="s">
        <v>174</v>
      </c>
      <c r="E416" s="174" t="s">
        <v>509</v>
      </c>
      <c r="F416" s="175" t="s">
        <v>528</v>
      </c>
      <c r="G416" s="176" t="s">
        <v>156</v>
      </c>
      <c r="H416" s="177">
        <v>1</v>
      </c>
      <c r="I416" s="281"/>
      <c r="J416" s="178">
        <f>ROUND(I416*H416,2)</f>
        <v>0</v>
      </c>
      <c r="K416" s="175" t="s">
        <v>151</v>
      </c>
      <c r="L416" s="179"/>
      <c r="M416" s="180" t="s">
        <v>3</v>
      </c>
      <c r="N416" s="181" t="s">
        <v>46</v>
      </c>
      <c r="O416" s="145">
        <v>0</v>
      </c>
      <c r="P416" s="145">
        <f>O416*H416</f>
        <v>0</v>
      </c>
      <c r="Q416" s="145">
        <v>0</v>
      </c>
      <c r="R416" s="145">
        <f>Q416*H416</f>
        <v>0</v>
      </c>
      <c r="S416" s="145">
        <v>0</v>
      </c>
      <c r="T416" s="146">
        <f>S416*H416</f>
        <v>0</v>
      </c>
      <c r="U416" s="31"/>
      <c r="V416" s="31"/>
      <c r="W416" s="31"/>
      <c r="X416" s="31"/>
      <c r="Y416" s="31"/>
      <c r="Z416" s="31"/>
      <c r="AA416" s="31"/>
      <c r="AB416" s="31"/>
      <c r="AC416" s="31"/>
      <c r="AD416" s="31"/>
      <c r="AE416" s="31"/>
      <c r="AR416" s="147" t="s">
        <v>248</v>
      </c>
      <c r="AT416" s="147" t="s">
        <v>174</v>
      </c>
      <c r="AU416" s="147" t="s">
        <v>85</v>
      </c>
      <c r="AY416" s="19" t="s">
        <v>144</v>
      </c>
      <c r="BE416" s="148">
        <f>IF(N416="základní",J416,0)</f>
        <v>0</v>
      </c>
      <c r="BF416" s="148">
        <f>IF(N416="snížená",J416,0)</f>
        <v>0</v>
      </c>
      <c r="BG416" s="148">
        <f>IF(N416="zákl. přenesená",J416,0)</f>
        <v>0</v>
      </c>
      <c r="BH416" s="148">
        <f>IF(N416="sníž. přenesená",J416,0)</f>
        <v>0</v>
      </c>
      <c r="BI416" s="148">
        <f>IF(N416="nulová",J416,0)</f>
        <v>0</v>
      </c>
      <c r="BJ416" s="19" t="s">
        <v>83</v>
      </c>
      <c r="BK416" s="148">
        <f>ROUND(I416*H416,2)</f>
        <v>0</v>
      </c>
      <c r="BL416" s="19" t="s">
        <v>218</v>
      </c>
      <c r="BM416" s="147" t="s">
        <v>529</v>
      </c>
    </row>
    <row r="417" spans="1:47" s="2" customFormat="1" ht="48.75">
      <c r="A417" s="31"/>
      <c r="B417" s="32"/>
      <c r="C417" s="31"/>
      <c r="D417" s="150" t="s">
        <v>270</v>
      </c>
      <c r="E417" s="31"/>
      <c r="F417" s="163" t="s">
        <v>530</v>
      </c>
      <c r="G417" s="31"/>
      <c r="H417" s="31"/>
      <c r="I417" s="279"/>
      <c r="J417" s="31"/>
      <c r="K417" s="31"/>
      <c r="L417" s="32"/>
      <c r="M417" s="164"/>
      <c r="N417" s="165"/>
      <c r="O417" s="52"/>
      <c r="P417" s="52"/>
      <c r="Q417" s="52"/>
      <c r="R417" s="52"/>
      <c r="S417" s="52"/>
      <c r="T417" s="53"/>
      <c r="U417" s="31"/>
      <c r="V417" s="31"/>
      <c r="W417" s="31"/>
      <c r="X417" s="31"/>
      <c r="Y417" s="31"/>
      <c r="Z417" s="31"/>
      <c r="AA417" s="31"/>
      <c r="AB417" s="31"/>
      <c r="AC417" s="31"/>
      <c r="AD417" s="31"/>
      <c r="AE417" s="31"/>
      <c r="AT417" s="19" t="s">
        <v>270</v>
      </c>
      <c r="AU417" s="19" t="s">
        <v>85</v>
      </c>
    </row>
    <row r="418" spans="2:51" s="13" customFormat="1" ht="12">
      <c r="B418" s="149"/>
      <c r="D418" s="150" t="s">
        <v>154</v>
      </c>
      <c r="E418" s="151" t="s">
        <v>3</v>
      </c>
      <c r="F418" s="152" t="s">
        <v>469</v>
      </c>
      <c r="H418" s="151" t="s">
        <v>3</v>
      </c>
      <c r="I418" s="282"/>
      <c r="L418" s="149"/>
      <c r="M418" s="153"/>
      <c r="N418" s="154"/>
      <c r="O418" s="154"/>
      <c r="P418" s="154"/>
      <c r="Q418" s="154"/>
      <c r="R418" s="154"/>
      <c r="S418" s="154"/>
      <c r="T418" s="155"/>
      <c r="AT418" s="151" t="s">
        <v>154</v>
      </c>
      <c r="AU418" s="151" t="s">
        <v>85</v>
      </c>
      <c r="AV418" s="13" t="s">
        <v>83</v>
      </c>
      <c r="AW418" s="13" t="s">
        <v>37</v>
      </c>
      <c r="AX418" s="13" t="s">
        <v>75</v>
      </c>
      <c r="AY418" s="151" t="s">
        <v>144</v>
      </c>
    </row>
    <row r="419" spans="2:51" s="14" customFormat="1" ht="12">
      <c r="B419" s="156"/>
      <c r="D419" s="150" t="s">
        <v>154</v>
      </c>
      <c r="E419" s="157" t="s">
        <v>3</v>
      </c>
      <c r="F419" s="158" t="s">
        <v>83</v>
      </c>
      <c r="H419" s="159">
        <v>1</v>
      </c>
      <c r="I419" s="280"/>
      <c r="L419" s="156"/>
      <c r="M419" s="160"/>
      <c r="N419" s="161"/>
      <c r="O419" s="161"/>
      <c r="P419" s="161"/>
      <c r="Q419" s="161"/>
      <c r="R419" s="161"/>
      <c r="S419" s="161"/>
      <c r="T419" s="162"/>
      <c r="AT419" s="157" t="s">
        <v>154</v>
      </c>
      <c r="AU419" s="157" t="s">
        <v>85</v>
      </c>
      <c r="AV419" s="14" t="s">
        <v>85</v>
      </c>
      <c r="AW419" s="14" t="s">
        <v>37</v>
      </c>
      <c r="AX419" s="14" t="s">
        <v>83</v>
      </c>
      <c r="AY419" s="157" t="s">
        <v>144</v>
      </c>
    </row>
    <row r="420" spans="1:65" s="2" customFormat="1" ht="49.15" customHeight="1">
      <c r="A420" s="31"/>
      <c r="B420" s="136"/>
      <c r="C420" s="173" t="s">
        <v>531</v>
      </c>
      <c r="D420" s="173" t="s">
        <v>174</v>
      </c>
      <c r="E420" s="174" t="s">
        <v>527</v>
      </c>
      <c r="F420" s="175" t="s">
        <v>533</v>
      </c>
      <c r="G420" s="176" t="s">
        <v>156</v>
      </c>
      <c r="H420" s="177">
        <v>1</v>
      </c>
      <c r="I420" s="281"/>
      <c r="J420" s="178">
        <f>ROUND(I420*H420,2)</f>
        <v>0</v>
      </c>
      <c r="K420" s="175" t="s">
        <v>151</v>
      </c>
      <c r="L420" s="179"/>
      <c r="M420" s="180" t="s">
        <v>3</v>
      </c>
      <c r="N420" s="181" t="s">
        <v>46</v>
      </c>
      <c r="O420" s="145">
        <v>0</v>
      </c>
      <c r="P420" s="145">
        <f>O420*H420</f>
        <v>0</v>
      </c>
      <c r="Q420" s="145">
        <v>0</v>
      </c>
      <c r="R420" s="145">
        <f>Q420*H420</f>
        <v>0</v>
      </c>
      <c r="S420" s="145">
        <v>0</v>
      </c>
      <c r="T420" s="146">
        <f>S420*H420</f>
        <v>0</v>
      </c>
      <c r="U420" s="31"/>
      <c r="V420" s="31"/>
      <c r="W420" s="31"/>
      <c r="X420" s="31"/>
      <c r="Y420" s="31"/>
      <c r="Z420" s="31"/>
      <c r="AA420" s="31"/>
      <c r="AB420" s="31"/>
      <c r="AC420" s="31"/>
      <c r="AD420" s="31"/>
      <c r="AE420" s="31"/>
      <c r="AR420" s="147" t="s">
        <v>248</v>
      </c>
      <c r="AT420" s="147" t="s">
        <v>174</v>
      </c>
      <c r="AU420" s="147" t="s">
        <v>85</v>
      </c>
      <c r="AY420" s="19" t="s">
        <v>144</v>
      </c>
      <c r="BE420" s="148">
        <f>IF(N420="základní",J420,0)</f>
        <v>0</v>
      </c>
      <c r="BF420" s="148">
        <f>IF(N420="snížená",J420,0)</f>
        <v>0</v>
      </c>
      <c r="BG420" s="148">
        <f>IF(N420="zákl. přenesená",J420,0)</f>
        <v>0</v>
      </c>
      <c r="BH420" s="148">
        <f>IF(N420="sníž. přenesená",J420,0)</f>
        <v>0</v>
      </c>
      <c r="BI420" s="148">
        <f>IF(N420="nulová",J420,0)</f>
        <v>0</v>
      </c>
      <c r="BJ420" s="19" t="s">
        <v>83</v>
      </c>
      <c r="BK420" s="148">
        <f>ROUND(I420*H420,2)</f>
        <v>0</v>
      </c>
      <c r="BL420" s="19" t="s">
        <v>218</v>
      </c>
      <c r="BM420" s="147" t="s">
        <v>534</v>
      </c>
    </row>
    <row r="421" spans="1:47" s="2" customFormat="1" ht="48.75">
      <c r="A421" s="31"/>
      <c r="B421" s="32"/>
      <c r="C421" s="31"/>
      <c r="D421" s="150" t="s">
        <v>270</v>
      </c>
      <c r="E421" s="31"/>
      <c r="F421" s="163" t="s">
        <v>530</v>
      </c>
      <c r="G421" s="31"/>
      <c r="H421" s="31"/>
      <c r="I421" s="279"/>
      <c r="J421" s="31"/>
      <c r="K421" s="31"/>
      <c r="L421" s="32"/>
      <c r="M421" s="164"/>
      <c r="N421" s="165"/>
      <c r="O421" s="52"/>
      <c r="P421" s="52"/>
      <c r="Q421" s="52"/>
      <c r="R421" s="52"/>
      <c r="S421" s="52"/>
      <c r="T421" s="53"/>
      <c r="U421" s="31"/>
      <c r="V421" s="31"/>
      <c r="W421" s="31"/>
      <c r="X421" s="31"/>
      <c r="Y421" s="31"/>
      <c r="Z421" s="31"/>
      <c r="AA421" s="31"/>
      <c r="AB421" s="31"/>
      <c r="AC421" s="31"/>
      <c r="AD421" s="31"/>
      <c r="AE421" s="31"/>
      <c r="AT421" s="19" t="s">
        <v>270</v>
      </c>
      <c r="AU421" s="19" t="s">
        <v>85</v>
      </c>
    </row>
    <row r="422" spans="2:51" s="13" customFormat="1" ht="12">
      <c r="B422" s="149"/>
      <c r="D422" s="150" t="s">
        <v>154</v>
      </c>
      <c r="E422" s="151" t="s">
        <v>3</v>
      </c>
      <c r="F422" s="152" t="s">
        <v>469</v>
      </c>
      <c r="H422" s="151" t="s">
        <v>3</v>
      </c>
      <c r="I422" s="282"/>
      <c r="L422" s="149"/>
      <c r="M422" s="153"/>
      <c r="N422" s="154"/>
      <c r="O422" s="154"/>
      <c r="P422" s="154"/>
      <c r="Q422" s="154"/>
      <c r="R422" s="154"/>
      <c r="S422" s="154"/>
      <c r="T422" s="155"/>
      <c r="AT422" s="151" t="s">
        <v>154</v>
      </c>
      <c r="AU422" s="151" t="s">
        <v>85</v>
      </c>
      <c r="AV422" s="13" t="s">
        <v>83</v>
      </c>
      <c r="AW422" s="13" t="s">
        <v>37</v>
      </c>
      <c r="AX422" s="13" t="s">
        <v>75</v>
      </c>
      <c r="AY422" s="151" t="s">
        <v>144</v>
      </c>
    </row>
    <row r="423" spans="2:51" s="14" customFormat="1" ht="12">
      <c r="B423" s="156"/>
      <c r="D423" s="150" t="s">
        <v>154</v>
      </c>
      <c r="E423" s="157" t="s">
        <v>3</v>
      </c>
      <c r="F423" s="158" t="s">
        <v>83</v>
      </c>
      <c r="H423" s="159">
        <v>1</v>
      </c>
      <c r="I423" s="280"/>
      <c r="L423" s="156"/>
      <c r="M423" s="160"/>
      <c r="N423" s="161"/>
      <c r="O423" s="161"/>
      <c r="P423" s="161"/>
      <c r="Q423" s="161"/>
      <c r="R423" s="161"/>
      <c r="S423" s="161"/>
      <c r="T423" s="162"/>
      <c r="AT423" s="157" t="s">
        <v>154</v>
      </c>
      <c r="AU423" s="157" t="s">
        <v>85</v>
      </c>
      <c r="AV423" s="14" t="s">
        <v>85</v>
      </c>
      <c r="AW423" s="14" t="s">
        <v>37</v>
      </c>
      <c r="AX423" s="14" t="s">
        <v>83</v>
      </c>
      <c r="AY423" s="157" t="s">
        <v>144</v>
      </c>
    </row>
    <row r="424" spans="1:65" s="2" customFormat="1" ht="49.15" customHeight="1">
      <c r="A424" s="31"/>
      <c r="B424" s="136"/>
      <c r="C424" s="173" t="s">
        <v>535</v>
      </c>
      <c r="D424" s="173" t="s">
        <v>174</v>
      </c>
      <c r="E424" s="174" t="s">
        <v>532</v>
      </c>
      <c r="F424" s="175" t="s">
        <v>536</v>
      </c>
      <c r="G424" s="176" t="s">
        <v>156</v>
      </c>
      <c r="H424" s="177">
        <v>1</v>
      </c>
      <c r="I424" s="281"/>
      <c r="J424" s="178">
        <f>ROUND(I424*H424,2)</f>
        <v>0</v>
      </c>
      <c r="K424" s="175" t="s">
        <v>151</v>
      </c>
      <c r="L424" s="179"/>
      <c r="M424" s="180" t="s">
        <v>3</v>
      </c>
      <c r="N424" s="181" t="s">
        <v>46</v>
      </c>
      <c r="O424" s="145">
        <v>0</v>
      </c>
      <c r="P424" s="145">
        <f>O424*H424</f>
        <v>0</v>
      </c>
      <c r="Q424" s="145">
        <v>0</v>
      </c>
      <c r="R424" s="145">
        <f>Q424*H424</f>
        <v>0</v>
      </c>
      <c r="S424" s="145">
        <v>0</v>
      </c>
      <c r="T424" s="146">
        <f>S424*H424</f>
        <v>0</v>
      </c>
      <c r="U424" s="31"/>
      <c r="V424" s="31"/>
      <c r="W424" s="31"/>
      <c r="X424" s="31"/>
      <c r="Y424" s="31"/>
      <c r="Z424" s="31"/>
      <c r="AA424" s="31"/>
      <c r="AB424" s="31"/>
      <c r="AC424" s="31"/>
      <c r="AD424" s="31"/>
      <c r="AE424" s="31"/>
      <c r="AR424" s="147" t="s">
        <v>248</v>
      </c>
      <c r="AT424" s="147" t="s">
        <v>174</v>
      </c>
      <c r="AU424" s="147" t="s">
        <v>85</v>
      </c>
      <c r="AY424" s="19" t="s">
        <v>144</v>
      </c>
      <c r="BE424" s="148">
        <f>IF(N424="základní",J424,0)</f>
        <v>0</v>
      </c>
      <c r="BF424" s="148">
        <f>IF(N424="snížená",J424,0)</f>
        <v>0</v>
      </c>
      <c r="BG424" s="148">
        <f>IF(N424="zákl. přenesená",J424,0)</f>
        <v>0</v>
      </c>
      <c r="BH424" s="148">
        <f>IF(N424="sníž. přenesená",J424,0)</f>
        <v>0</v>
      </c>
      <c r="BI424" s="148">
        <f>IF(N424="nulová",J424,0)</f>
        <v>0</v>
      </c>
      <c r="BJ424" s="19" t="s">
        <v>83</v>
      </c>
      <c r="BK424" s="148">
        <f>ROUND(I424*H424,2)</f>
        <v>0</v>
      </c>
      <c r="BL424" s="19" t="s">
        <v>218</v>
      </c>
      <c r="BM424" s="147" t="s">
        <v>537</v>
      </c>
    </row>
    <row r="425" spans="1:47" s="2" customFormat="1" ht="58.5">
      <c r="A425" s="31"/>
      <c r="B425" s="32"/>
      <c r="C425" s="31"/>
      <c r="D425" s="150" t="s">
        <v>270</v>
      </c>
      <c r="E425" s="31"/>
      <c r="F425" s="163" t="s">
        <v>538</v>
      </c>
      <c r="G425" s="31"/>
      <c r="H425" s="31"/>
      <c r="I425" s="279"/>
      <c r="J425" s="31"/>
      <c r="K425" s="31"/>
      <c r="L425" s="32"/>
      <c r="M425" s="164"/>
      <c r="N425" s="165"/>
      <c r="O425" s="52"/>
      <c r="P425" s="52"/>
      <c r="Q425" s="52"/>
      <c r="R425" s="52"/>
      <c r="S425" s="52"/>
      <c r="T425" s="53"/>
      <c r="U425" s="31"/>
      <c r="V425" s="31"/>
      <c r="W425" s="31"/>
      <c r="X425" s="31"/>
      <c r="Y425" s="31"/>
      <c r="Z425" s="31"/>
      <c r="AA425" s="31"/>
      <c r="AB425" s="31"/>
      <c r="AC425" s="31"/>
      <c r="AD425" s="31"/>
      <c r="AE425" s="31"/>
      <c r="AT425" s="19" t="s">
        <v>270</v>
      </c>
      <c r="AU425" s="19" t="s">
        <v>85</v>
      </c>
    </row>
    <row r="426" spans="2:51" s="13" customFormat="1" ht="12">
      <c r="B426" s="149"/>
      <c r="D426" s="150" t="s">
        <v>154</v>
      </c>
      <c r="E426" s="151" t="s">
        <v>3</v>
      </c>
      <c r="F426" s="152" t="s">
        <v>469</v>
      </c>
      <c r="H426" s="151" t="s">
        <v>3</v>
      </c>
      <c r="I426" s="282"/>
      <c r="L426" s="149"/>
      <c r="M426" s="153"/>
      <c r="N426" s="154"/>
      <c r="O426" s="154"/>
      <c r="P426" s="154"/>
      <c r="Q426" s="154"/>
      <c r="R426" s="154"/>
      <c r="S426" s="154"/>
      <c r="T426" s="155"/>
      <c r="AT426" s="151" t="s">
        <v>154</v>
      </c>
      <c r="AU426" s="151" t="s">
        <v>85</v>
      </c>
      <c r="AV426" s="13" t="s">
        <v>83</v>
      </c>
      <c r="AW426" s="13" t="s">
        <v>37</v>
      </c>
      <c r="AX426" s="13" t="s">
        <v>75</v>
      </c>
      <c r="AY426" s="151" t="s">
        <v>144</v>
      </c>
    </row>
    <row r="427" spans="2:51" s="14" customFormat="1" ht="12">
      <c r="B427" s="156"/>
      <c r="D427" s="150" t="s">
        <v>154</v>
      </c>
      <c r="E427" s="157" t="s">
        <v>3</v>
      </c>
      <c r="F427" s="158" t="s">
        <v>83</v>
      </c>
      <c r="H427" s="159">
        <v>1</v>
      </c>
      <c r="I427" s="280"/>
      <c r="L427" s="156"/>
      <c r="M427" s="160"/>
      <c r="N427" s="161"/>
      <c r="O427" s="161"/>
      <c r="P427" s="161"/>
      <c r="Q427" s="161"/>
      <c r="R427" s="161"/>
      <c r="S427" s="161"/>
      <c r="T427" s="162"/>
      <c r="AT427" s="157" t="s">
        <v>154</v>
      </c>
      <c r="AU427" s="157" t="s">
        <v>85</v>
      </c>
      <c r="AV427" s="14" t="s">
        <v>85</v>
      </c>
      <c r="AW427" s="14" t="s">
        <v>37</v>
      </c>
      <c r="AX427" s="14" t="s">
        <v>83</v>
      </c>
      <c r="AY427" s="157" t="s">
        <v>144</v>
      </c>
    </row>
    <row r="428" spans="1:65" s="2" customFormat="1" ht="37.9" customHeight="1">
      <c r="A428" s="31"/>
      <c r="B428" s="136"/>
      <c r="C428" s="137" t="s">
        <v>539</v>
      </c>
      <c r="D428" s="137" t="s">
        <v>147</v>
      </c>
      <c r="E428" s="138" t="s">
        <v>540</v>
      </c>
      <c r="F428" s="139" t="s">
        <v>541</v>
      </c>
      <c r="G428" s="140" t="s">
        <v>156</v>
      </c>
      <c r="H428" s="141">
        <v>1</v>
      </c>
      <c r="I428" s="278"/>
      <c r="J428" s="142">
        <f>ROUND(I428*H428,2)</f>
        <v>0</v>
      </c>
      <c r="K428" s="139" t="s">
        <v>157</v>
      </c>
      <c r="L428" s="32"/>
      <c r="M428" s="143" t="s">
        <v>3</v>
      </c>
      <c r="N428" s="144" t="s">
        <v>46</v>
      </c>
      <c r="O428" s="145">
        <v>9.462</v>
      </c>
      <c r="P428" s="145">
        <f>O428*H428</f>
        <v>9.462</v>
      </c>
      <c r="Q428" s="145">
        <v>0.00086</v>
      </c>
      <c r="R428" s="145">
        <f>Q428*H428</f>
        <v>0.00086</v>
      </c>
      <c r="S428" s="145">
        <v>0</v>
      </c>
      <c r="T428" s="146">
        <f>S428*H428</f>
        <v>0</v>
      </c>
      <c r="U428" s="31"/>
      <c r="V428" s="31"/>
      <c r="W428" s="31"/>
      <c r="X428" s="31"/>
      <c r="Y428" s="31"/>
      <c r="Z428" s="31"/>
      <c r="AA428" s="31"/>
      <c r="AB428" s="31"/>
      <c r="AC428" s="31"/>
      <c r="AD428" s="31"/>
      <c r="AE428" s="31"/>
      <c r="AR428" s="147" t="s">
        <v>218</v>
      </c>
      <c r="AT428" s="147" t="s">
        <v>147</v>
      </c>
      <c r="AU428" s="147" t="s">
        <v>85</v>
      </c>
      <c r="AY428" s="19" t="s">
        <v>144</v>
      </c>
      <c r="BE428" s="148">
        <f>IF(N428="základní",J428,0)</f>
        <v>0</v>
      </c>
      <c r="BF428" s="148">
        <f>IF(N428="snížená",J428,0)</f>
        <v>0</v>
      </c>
      <c r="BG428" s="148">
        <f>IF(N428="zákl. přenesená",J428,0)</f>
        <v>0</v>
      </c>
      <c r="BH428" s="148">
        <f>IF(N428="sníž. přenesená",J428,0)</f>
        <v>0</v>
      </c>
      <c r="BI428" s="148">
        <f>IF(N428="nulová",J428,0)</f>
        <v>0</v>
      </c>
      <c r="BJ428" s="19" t="s">
        <v>83</v>
      </c>
      <c r="BK428" s="148">
        <f>ROUND(I428*H428,2)</f>
        <v>0</v>
      </c>
      <c r="BL428" s="19" t="s">
        <v>218</v>
      </c>
      <c r="BM428" s="147" t="s">
        <v>542</v>
      </c>
    </row>
    <row r="429" spans="1:47" s="2" customFormat="1" ht="136.5">
      <c r="A429" s="31"/>
      <c r="B429" s="32"/>
      <c r="C429" s="31"/>
      <c r="D429" s="150" t="s">
        <v>158</v>
      </c>
      <c r="E429" s="31"/>
      <c r="F429" s="163" t="s">
        <v>462</v>
      </c>
      <c r="G429" s="31"/>
      <c r="H429" s="31"/>
      <c r="I429" s="279"/>
      <c r="J429" s="31"/>
      <c r="K429" s="31"/>
      <c r="L429" s="32"/>
      <c r="M429" s="164"/>
      <c r="N429" s="165"/>
      <c r="O429" s="52"/>
      <c r="P429" s="52"/>
      <c r="Q429" s="52"/>
      <c r="R429" s="52"/>
      <c r="S429" s="52"/>
      <c r="T429" s="53"/>
      <c r="U429" s="31"/>
      <c r="V429" s="31"/>
      <c r="W429" s="31"/>
      <c r="X429" s="31"/>
      <c r="Y429" s="31"/>
      <c r="Z429" s="31"/>
      <c r="AA429" s="31"/>
      <c r="AB429" s="31"/>
      <c r="AC429" s="31"/>
      <c r="AD429" s="31"/>
      <c r="AE429" s="31"/>
      <c r="AT429" s="19" t="s">
        <v>158</v>
      </c>
      <c r="AU429" s="19" t="s">
        <v>85</v>
      </c>
    </row>
    <row r="430" spans="1:47" s="2" customFormat="1" ht="29.25">
      <c r="A430" s="31"/>
      <c r="B430" s="32"/>
      <c r="C430" s="31"/>
      <c r="D430" s="150" t="s">
        <v>270</v>
      </c>
      <c r="E430" s="31"/>
      <c r="F430" s="163" t="s">
        <v>463</v>
      </c>
      <c r="G430" s="31"/>
      <c r="H430" s="31"/>
      <c r="I430" s="279"/>
      <c r="J430" s="31"/>
      <c r="K430" s="31"/>
      <c r="L430" s="32"/>
      <c r="M430" s="164"/>
      <c r="N430" s="165"/>
      <c r="O430" s="52"/>
      <c r="P430" s="52"/>
      <c r="Q430" s="52"/>
      <c r="R430" s="52"/>
      <c r="S430" s="52"/>
      <c r="T430" s="53"/>
      <c r="U430" s="31"/>
      <c r="V430" s="31"/>
      <c r="W430" s="31"/>
      <c r="X430" s="31"/>
      <c r="Y430" s="31"/>
      <c r="Z430" s="31"/>
      <c r="AA430" s="31"/>
      <c r="AB430" s="31"/>
      <c r="AC430" s="31"/>
      <c r="AD430" s="31"/>
      <c r="AE430" s="31"/>
      <c r="AT430" s="19" t="s">
        <v>270</v>
      </c>
      <c r="AU430" s="19" t="s">
        <v>85</v>
      </c>
    </row>
    <row r="431" spans="1:65" s="2" customFormat="1" ht="62.65" customHeight="1">
      <c r="A431" s="31"/>
      <c r="B431" s="136"/>
      <c r="C431" s="173" t="s">
        <v>543</v>
      </c>
      <c r="D431" s="173" t="s">
        <v>174</v>
      </c>
      <c r="E431" s="174" t="s">
        <v>544</v>
      </c>
      <c r="F431" s="175" t="s">
        <v>545</v>
      </c>
      <c r="G431" s="176" t="s">
        <v>156</v>
      </c>
      <c r="H431" s="177">
        <v>1</v>
      </c>
      <c r="I431" s="281"/>
      <c r="J431" s="178">
        <f>ROUND(I431*H431,2)</f>
        <v>0</v>
      </c>
      <c r="K431" s="175" t="s">
        <v>151</v>
      </c>
      <c r="L431" s="179"/>
      <c r="M431" s="180" t="s">
        <v>3</v>
      </c>
      <c r="N431" s="181" t="s">
        <v>46</v>
      </c>
      <c r="O431" s="145">
        <v>0</v>
      </c>
      <c r="P431" s="145">
        <f>O431*H431</f>
        <v>0</v>
      </c>
      <c r="Q431" s="145">
        <v>0</v>
      </c>
      <c r="R431" s="145">
        <f>Q431*H431</f>
        <v>0</v>
      </c>
      <c r="S431" s="145">
        <v>0</v>
      </c>
      <c r="T431" s="146">
        <f>S431*H431</f>
        <v>0</v>
      </c>
      <c r="U431" s="31"/>
      <c r="V431" s="31"/>
      <c r="W431" s="31"/>
      <c r="X431" s="31"/>
      <c r="Y431" s="31"/>
      <c r="Z431" s="31"/>
      <c r="AA431" s="31"/>
      <c r="AB431" s="31"/>
      <c r="AC431" s="31"/>
      <c r="AD431" s="31"/>
      <c r="AE431" s="31"/>
      <c r="AR431" s="147" t="s">
        <v>248</v>
      </c>
      <c r="AT431" s="147" t="s">
        <v>174</v>
      </c>
      <c r="AU431" s="147" t="s">
        <v>85</v>
      </c>
      <c r="AY431" s="19" t="s">
        <v>144</v>
      </c>
      <c r="BE431" s="148">
        <f>IF(N431="základní",J431,0)</f>
        <v>0</v>
      </c>
      <c r="BF431" s="148">
        <f>IF(N431="snížená",J431,0)</f>
        <v>0</v>
      </c>
      <c r="BG431" s="148">
        <f>IF(N431="zákl. přenesená",J431,0)</f>
        <v>0</v>
      </c>
      <c r="BH431" s="148">
        <f>IF(N431="sníž. přenesená",J431,0)</f>
        <v>0</v>
      </c>
      <c r="BI431" s="148">
        <f>IF(N431="nulová",J431,0)</f>
        <v>0</v>
      </c>
      <c r="BJ431" s="19" t="s">
        <v>83</v>
      </c>
      <c r="BK431" s="148">
        <f>ROUND(I431*H431,2)</f>
        <v>0</v>
      </c>
      <c r="BL431" s="19" t="s">
        <v>218</v>
      </c>
      <c r="BM431" s="147" t="s">
        <v>546</v>
      </c>
    </row>
    <row r="432" spans="1:47" s="2" customFormat="1" ht="58.5">
      <c r="A432" s="31"/>
      <c r="B432" s="32"/>
      <c r="C432" s="31"/>
      <c r="D432" s="150" t="s">
        <v>270</v>
      </c>
      <c r="E432" s="31"/>
      <c r="F432" s="163" t="s">
        <v>547</v>
      </c>
      <c r="G432" s="31"/>
      <c r="H432" s="31"/>
      <c r="I432" s="279"/>
      <c r="J432" s="31"/>
      <c r="K432" s="31"/>
      <c r="L432" s="32"/>
      <c r="M432" s="164"/>
      <c r="N432" s="165"/>
      <c r="O432" s="52"/>
      <c r="P432" s="52"/>
      <c r="Q432" s="52"/>
      <c r="R432" s="52"/>
      <c r="S432" s="52"/>
      <c r="T432" s="53"/>
      <c r="U432" s="31"/>
      <c r="V432" s="31"/>
      <c r="W432" s="31"/>
      <c r="X432" s="31"/>
      <c r="Y432" s="31"/>
      <c r="Z432" s="31"/>
      <c r="AA432" s="31"/>
      <c r="AB432" s="31"/>
      <c r="AC432" s="31"/>
      <c r="AD432" s="31"/>
      <c r="AE432" s="31"/>
      <c r="AT432" s="19" t="s">
        <v>270</v>
      </c>
      <c r="AU432" s="19" t="s">
        <v>85</v>
      </c>
    </row>
    <row r="433" spans="2:51" s="13" customFormat="1" ht="12">
      <c r="B433" s="149"/>
      <c r="D433" s="150" t="s">
        <v>154</v>
      </c>
      <c r="E433" s="151" t="s">
        <v>3</v>
      </c>
      <c r="F433" s="152" t="s">
        <v>469</v>
      </c>
      <c r="H433" s="151" t="s">
        <v>3</v>
      </c>
      <c r="I433" s="282"/>
      <c r="L433" s="149"/>
      <c r="M433" s="153"/>
      <c r="N433" s="154"/>
      <c r="O433" s="154"/>
      <c r="P433" s="154"/>
      <c r="Q433" s="154"/>
      <c r="R433" s="154"/>
      <c r="S433" s="154"/>
      <c r="T433" s="155"/>
      <c r="AT433" s="151" t="s">
        <v>154</v>
      </c>
      <c r="AU433" s="151" t="s">
        <v>85</v>
      </c>
      <c r="AV433" s="13" t="s">
        <v>83</v>
      </c>
      <c r="AW433" s="13" t="s">
        <v>37</v>
      </c>
      <c r="AX433" s="13" t="s">
        <v>75</v>
      </c>
      <c r="AY433" s="151" t="s">
        <v>144</v>
      </c>
    </row>
    <row r="434" spans="2:51" s="14" customFormat="1" ht="12">
      <c r="B434" s="156"/>
      <c r="D434" s="150" t="s">
        <v>154</v>
      </c>
      <c r="E434" s="157" t="s">
        <v>3</v>
      </c>
      <c r="F434" s="158" t="s">
        <v>83</v>
      </c>
      <c r="H434" s="159">
        <v>1</v>
      </c>
      <c r="I434" s="280"/>
      <c r="L434" s="156"/>
      <c r="M434" s="160"/>
      <c r="N434" s="161"/>
      <c r="O434" s="161"/>
      <c r="P434" s="161"/>
      <c r="Q434" s="161"/>
      <c r="R434" s="161"/>
      <c r="S434" s="161"/>
      <c r="T434" s="162"/>
      <c r="AT434" s="157" t="s">
        <v>154</v>
      </c>
      <c r="AU434" s="157" t="s">
        <v>85</v>
      </c>
      <c r="AV434" s="14" t="s">
        <v>85</v>
      </c>
      <c r="AW434" s="14" t="s">
        <v>37</v>
      </c>
      <c r="AX434" s="14" t="s">
        <v>83</v>
      </c>
      <c r="AY434" s="157" t="s">
        <v>144</v>
      </c>
    </row>
    <row r="435" spans="1:65" s="2" customFormat="1" ht="37.9" customHeight="1">
      <c r="A435" s="31"/>
      <c r="B435" s="136"/>
      <c r="C435" s="137" t="s">
        <v>548</v>
      </c>
      <c r="D435" s="137" t="s">
        <v>147</v>
      </c>
      <c r="E435" s="138" t="s">
        <v>549</v>
      </c>
      <c r="F435" s="139" t="s">
        <v>550</v>
      </c>
      <c r="G435" s="140" t="s">
        <v>387</v>
      </c>
      <c r="H435" s="141">
        <f>SUM(J310:J434)/100</f>
        <v>0</v>
      </c>
      <c r="I435" s="278"/>
      <c r="J435" s="142">
        <f>ROUND(I435*H435,2)</f>
        <v>0</v>
      </c>
      <c r="K435" s="139" t="s">
        <v>157</v>
      </c>
      <c r="L435" s="32"/>
      <c r="M435" s="143" t="s">
        <v>3</v>
      </c>
      <c r="N435" s="144" t="s">
        <v>46</v>
      </c>
      <c r="O435" s="145">
        <v>0</v>
      </c>
      <c r="P435" s="145">
        <f>O435*H435</f>
        <v>0</v>
      </c>
      <c r="Q435" s="145">
        <v>0</v>
      </c>
      <c r="R435" s="145">
        <f>Q435*H435</f>
        <v>0</v>
      </c>
      <c r="S435" s="145">
        <v>0</v>
      </c>
      <c r="T435" s="146">
        <f>S435*H435</f>
        <v>0</v>
      </c>
      <c r="U435" s="31"/>
      <c r="V435" s="31"/>
      <c r="W435" s="31"/>
      <c r="X435" s="31"/>
      <c r="Y435" s="31"/>
      <c r="Z435" s="31"/>
      <c r="AA435" s="31"/>
      <c r="AB435" s="31"/>
      <c r="AC435" s="31"/>
      <c r="AD435" s="31"/>
      <c r="AE435" s="31"/>
      <c r="AR435" s="147" t="s">
        <v>218</v>
      </c>
      <c r="AT435" s="147" t="s">
        <v>147</v>
      </c>
      <c r="AU435" s="147" t="s">
        <v>85</v>
      </c>
      <c r="AY435" s="19" t="s">
        <v>144</v>
      </c>
      <c r="BE435" s="148">
        <f>IF(N435="základní",J435,0)</f>
        <v>0</v>
      </c>
      <c r="BF435" s="148">
        <f>IF(N435="snížená",J435,0)</f>
        <v>0</v>
      </c>
      <c r="BG435" s="148">
        <f>IF(N435="zákl. přenesená",J435,0)</f>
        <v>0</v>
      </c>
      <c r="BH435" s="148">
        <f>IF(N435="sníž. přenesená",J435,0)</f>
        <v>0</v>
      </c>
      <c r="BI435" s="148">
        <f>IF(N435="nulová",J435,0)</f>
        <v>0</v>
      </c>
      <c r="BJ435" s="19" t="s">
        <v>83</v>
      </c>
      <c r="BK435" s="148">
        <f>ROUND(I435*H435,2)</f>
        <v>0</v>
      </c>
      <c r="BL435" s="19" t="s">
        <v>218</v>
      </c>
      <c r="BM435" s="147" t="s">
        <v>551</v>
      </c>
    </row>
    <row r="436" spans="1:47" s="2" customFormat="1" ht="126.75">
      <c r="A436" s="31"/>
      <c r="B436" s="32"/>
      <c r="C436" s="31"/>
      <c r="D436" s="150" t="s">
        <v>158</v>
      </c>
      <c r="E436" s="31"/>
      <c r="F436" s="163" t="s">
        <v>552</v>
      </c>
      <c r="G436" s="31"/>
      <c r="H436" s="31"/>
      <c r="I436" s="279"/>
      <c r="J436" s="31"/>
      <c r="K436" s="31"/>
      <c r="L436" s="32"/>
      <c r="M436" s="164"/>
      <c r="N436" s="165"/>
      <c r="O436" s="52"/>
      <c r="P436" s="52"/>
      <c r="Q436" s="52"/>
      <c r="R436" s="52"/>
      <c r="S436" s="52"/>
      <c r="T436" s="53"/>
      <c r="U436" s="31"/>
      <c r="V436" s="31"/>
      <c r="W436" s="31"/>
      <c r="X436" s="31"/>
      <c r="Y436" s="31"/>
      <c r="Z436" s="31"/>
      <c r="AA436" s="31"/>
      <c r="AB436" s="31"/>
      <c r="AC436" s="31"/>
      <c r="AD436" s="31"/>
      <c r="AE436" s="31"/>
      <c r="AT436" s="19" t="s">
        <v>158</v>
      </c>
      <c r="AU436" s="19" t="s">
        <v>85</v>
      </c>
    </row>
    <row r="437" spans="1:65" s="2" customFormat="1" ht="49.15" customHeight="1">
      <c r="A437" s="31"/>
      <c r="B437" s="136"/>
      <c r="C437" s="137" t="s">
        <v>553</v>
      </c>
      <c r="D437" s="137" t="s">
        <v>147</v>
      </c>
      <c r="E437" s="138" t="s">
        <v>554</v>
      </c>
      <c r="F437" s="139" t="s">
        <v>555</v>
      </c>
      <c r="G437" s="140" t="s">
        <v>387</v>
      </c>
      <c r="H437" s="141">
        <f>H435</f>
        <v>0</v>
      </c>
      <c r="I437" s="278"/>
      <c r="J437" s="142">
        <f>ROUND(I437*H437,2)</f>
        <v>0</v>
      </c>
      <c r="K437" s="139" t="s">
        <v>157</v>
      </c>
      <c r="L437" s="32"/>
      <c r="M437" s="143" t="s">
        <v>3</v>
      </c>
      <c r="N437" s="144" t="s">
        <v>46</v>
      </c>
      <c r="O437" s="145">
        <v>0</v>
      </c>
      <c r="P437" s="145">
        <f>O437*H437</f>
        <v>0</v>
      </c>
      <c r="Q437" s="145">
        <v>0</v>
      </c>
      <c r="R437" s="145">
        <f>Q437*H437</f>
        <v>0</v>
      </c>
      <c r="S437" s="145">
        <v>0</v>
      </c>
      <c r="T437" s="146">
        <f>S437*H437</f>
        <v>0</v>
      </c>
      <c r="U437" s="31"/>
      <c r="V437" s="31"/>
      <c r="W437" s="31"/>
      <c r="X437" s="31"/>
      <c r="Y437" s="31"/>
      <c r="Z437" s="31"/>
      <c r="AA437" s="31"/>
      <c r="AB437" s="31"/>
      <c r="AC437" s="31"/>
      <c r="AD437" s="31"/>
      <c r="AE437" s="31"/>
      <c r="AR437" s="147" t="s">
        <v>218</v>
      </c>
      <c r="AT437" s="147" t="s">
        <v>147</v>
      </c>
      <c r="AU437" s="147" t="s">
        <v>85</v>
      </c>
      <c r="AY437" s="19" t="s">
        <v>144</v>
      </c>
      <c r="BE437" s="148">
        <f>IF(N437="základní",J437,0)</f>
        <v>0</v>
      </c>
      <c r="BF437" s="148">
        <f>IF(N437="snížená",J437,0)</f>
        <v>0</v>
      </c>
      <c r="BG437" s="148">
        <f>IF(N437="zákl. přenesená",J437,0)</f>
        <v>0</v>
      </c>
      <c r="BH437" s="148">
        <f>IF(N437="sníž. přenesená",J437,0)</f>
        <v>0</v>
      </c>
      <c r="BI437" s="148">
        <f>IF(N437="nulová",J437,0)</f>
        <v>0</v>
      </c>
      <c r="BJ437" s="19" t="s">
        <v>83</v>
      </c>
      <c r="BK437" s="148">
        <f>ROUND(I437*H437,2)</f>
        <v>0</v>
      </c>
      <c r="BL437" s="19" t="s">
        <v>218</v>
      </c>
      <c r="BM437" s="147" t="s">
        <v>556</v>
      </c>
    </row>
    <row r="438" spans="1:47" s="2" customFormat="1" ht="126.75">
      <c r="A438" s="31"/>
      <c r="B438" s="32"/>
      <c r="C438" s="31"/>
      <c r="D438" s="150" t="s">
        <v>158</v>
      </c>
      <c r="E438" s="31"/>
      <c r="F438" s="163" t="s">
        <v>552</v>
      </c>
      <c r="G438" s="31"/>
      <c r="H438" s="31"/>
      <c r="I438" s="279"/>
      <c r="J438" s="31"/>
      <c r="K438" s="31"/>
      <c r="L438" s="32"/>
      <c r="M438" s="164"/>
      <c r="N438" s="165"/>
      <c r="O438" s="52"/>
      <c r="P438" s="52"/>
      <c r="Q438" s="52"/>
      <c r="R438" s="52"/>
      <c r="S438" s="52"/>
      <c r="T438" s="53"/>
      <c r="U438" s="31"/>
      <c r="V438" s="31"/>
      <c r="W438" s="31"/>
      <c r="X438" s="31"/>
      <c r="Y438" s="31"/>
      <c r="Z438" s="31"/>
      <c r="AA438" s="31"/>
      <c r="AB438" s="31"/>
      <c r="AC438" s="31"/>
      <c r="AD438" s="31"/>
      <c r="AE438" s="31"/>
      <c r="AT438" s="19" t="s">
        <v>158</v>
      </c>
      <c r="AU438" s="19" t="s">
        <v>85</v>
      </c>
    </row>
    <row r="439" spans="2:63" s="12" customFormat="1" ht="22.9" customHeight="1">
      <c r="B439" s="124"/>
      <c r="D439" s="125" t="s">
        <v>74</v>
      </c>
      <c r="E439" s="134" t="s">
        <v>557</v>
      </c>
      <c r="F439" s="134" t="s">
        <v>558</v>
      </c>
      <c r="I439" s="285"/>
      <c r="J439" s="135">
        <f>BK439</f>
        <v>0</v>
      </c>
      <c r="L439" s="124"/>
      <c r="M439" s="128"/>
      <c r="N439" s="129"/>
      <c r="O439" s="129"/>
      <c r="P439" s="130">
        <f>SUM(P440:P453)</f>
        <v>1.1500000000000001</v>
      </c>
      <c r="Q439" s="129"/>
      <c r="R439" s="130">
        <f>SUM(R440:R453)</f>
        <v>0</v>
      </c>
      <c r="S439" s="129"/>
      <c r="T439" s="131">
        <f>SUM(T440:T453)</f>
        <v>0</v>
      </c>
      <c r="AR439" s="125" t="s">
        <v>85</v>
      </c>
      <c r="AT439" s="132" t="s">
        <v>74</v>
      </c>
      <c r="AU439" s="132" t="s">
        <v>83</v>
      </c>
      <c r="AY439" s="125" t="s">
        <v>144</v>
      </c>
      <c r="BK439" s="133">
        <f>SUM(BK440:BK453)</f>
        <v>0</v>
      </c>
    </row>
    <row r="440" spans="1:65" s="2" customFormat="1" ht="37.9" customHeight="1">
      <c r="A440" s="31"/>
      <c r="B440" s="136"/>
      <c r="C440" s="137" t="s">
        <v>559</v>
      </c>
      <c r="D440" s="137" t="s">
        <v>147</v>
      </c>
      <c r="E440" s="138" t="s">
        <v>560</v>
      </c>
      <c r="F440" s="139" t="s">
        <v>561</v>
      </c>
      <c r="G440" s="140" t="s">
        <v>156</v>
      </c>
      <c r="H440" s="141">
        <v>10</v>
      </c>
      <c r="I440" s="278"/>
      <c r="J440" s="142">
        <f>ROUND(I440*H440,2)</f>
        <v>0</v>
      </c>
      <c r="K440" s="139" t="s">
        <v>157</v>
      </c>
      <c r="L440" s="32"/>
      <c r="M440" s="143" t="s">
        <v>3</v>
      </c>
      <c r="N440" s="144" t="s">
        <v>46</v>
      </c>
      <c r="O440" s="145">
        <v>0.115</v>
      </c>
      <c r="P440" s="145">
        <f>O440*H440</f>
        <v>1.1500000000000001</v>
      </c>
      <c r="Q440" s="145">
        <v>0</v>
      </c>
      <c r="R440" s="145">
        <f>Q440*H440</f>
        <v>0</v>
      </c>
      <c r="S440" s="145">
        <v>0</v>
      </c>
      <c r="T440" s="146">
        <f>S440*H440</f>
        <v>0</v>
      </c>
      <c r="U440" s="31"/>
      <c r="V440" s="31"/>
      <c r="W440" s="31"/>
      <c r="X440" s="31"/>
      <c r="Y440" s="31"/>
      <c r="Z440" s="31"/>
      <c r="AA440" s="31"/>
      <c r="AB440" s="31"/>
      <c r="AC440" s="31"/>
      <c r="AD440" s="31"/>
      <c r="AE440" s="31"/>
      <c r="AR440" s="147" t="s">
        <v>218</v>
      </c>
      <c r="AT440" s="147" t="s">
        <v>147</v>
      </c>
      <c r="AU440" s="147" t="s">
        <v>85</v>
      </c>
      <c r="AY440" s="19" t="s">
        <v>144</v>
      </c>
      <c r="BE440" s="148">
        <f>IF(N440="základní",J440,0)</f>
        <v>0</v>
      </c>
      <c r="BF440" s="148">
        <f>IF(N440="snížená",J440,0)</f>
        <v>0</v>
      </c>
      <c r="BG440" s="148">
        <f>IF(N440="zákl. přenesená",J440,0)</f>
        <v>0</v>
      </c>
      <c r="BH440" s="148">
        <f>IF(N440="sníž. přenesená",J440,0)</f>
        <v>0</v>
      </c>
      <c r="BI440" s="148">
        <f>IF(N440="nulová",J440,0)</f>
        <v>0</v>
      </c>
      <c r="BJ440" s="19" t="s">
        <v>83</v>
      </c>
      <c r="BK440" s="148">
        <f>ROUND(I440*H440,2)</f>
        <v>0</v>
      </c>
      <c r="BL440" s="19" t="s">
        <v>218</v>
      </c>
      <c r="BM440" s="147" t="s">
        <v>562</v>
      </c>
    </row>
    <row r="441" spans="2:51" s="13" customFormat="1" ht="22.5">
      <c r="B441" s="149"/>
      <c r="D441" s="150" t="s">
        <v>154</v>
      </c>
      <c r="E441" s="151" t="s">
        <v>3</v>
      </c>
      <c r="F441" s="152" t="s">
        <v>232</v>
      </c>
      <c r="H441" s="151" t="s">
        <v>3</v>
      </c>
      <c r="I441" s="282"/>
      <c r="L441" s="149"/>
      <c r="M441" s="153"/>
      <c r="N441" s="154"/>
      <c r="O441" s="154"/>
      <c r="P441" s="154"/>
      <c r="Q441" s="154"/>
      <c r="R441" s="154"/>
      <c r="S441" s="154"/>
      <c r="T441" s="155"/>
      <c r="AT441" s="151" t="s">
        <v>154</v>
      </c>
      <c r="AU441" s="151" t="s">
        <v>85</v>
      </c>
      <c r="AV441" s="13" t="s">
        <v>83</v>
      </c>
      <c r="AW441" s="13" t="s">
        <v>37</v>
      </c>
      <c r="AX441" s="13" t="s">
        <v>75</v>
      </c>
      <c r="AY441" s="151" t="s">
        <v>144</v>
      </c>
    </row>
    <row r="442" spans="2:51" s="13" customFormat="1" ht="12">
      <c r="B442" s="149"/>
      <c r="D442" s="150" t="s">
        <v>154</v>
      </c>
      <c r="E442" s="151" t="s">
        <v>3</v>
      </c>
      <c r="F442" s="152" t="s">
        <v>563</v>
      </c>
      <c r="H442" s="151" t="s">
        <v>3</v>
      </c>
      <c r="I442" s="282"/>
      <c r="L442" s="149"/>
      <c r="M442" s="153"/>
      <c r="N442" s="154"/>
      <c r="O442" s="154"/>
      <c r="P442" s="154"/>
      <c r="Q442" s="154"/>
      <c r="R442" s="154"/>
      <c r="S442" s="154"/>
      <c r="T442" s="155"/>
      <c r="AT442" s="151" t="s">
        <v>154</v>
      </c>
      <c r="AU442" s="151" t="s">
        <v>85</v>
      </c>
      <c r="AV442" s="13" t="s">
        <v>83</v>
      </c>
      <c r="AW442" s="13" t="s">
        <v>37</v>
      </c>
      <c r="AX442" s="13" t="s">
        <v>75</v>
      </c>
      <c r="AY442" s="151" t="s">
        <v>144</v>
      </c>
    </row>
    <row r="443" spans="2:51" s="14" customFormat="1" ht="12">
      <c r="B443" s="156"/>
      <c r="D443" s="150" t="s">
        <v>154</v>
      </c>
      <c r="E443" s="157" t="s">
        <v>3</v>
      </c>
      <c r="F443" s="158" t="s">
        <v>565</v>
      </c>
      <c r="H443" s="159">
        <v>2</v>
      </c>
      <c r="I443" s="280"/>
      <c r="L443" s="156"/>
      <c r="M443" s="160"/>
      <c r="N443" s="161"/>
      <c r="O443" s="161"/>
      <c r="P443" s="161"/>
      <c r="Q443" s="161"/>
      <c r="R443" s="161"/>
      <c r="S443" s="161"/>
      <c r="T443" s="162"/>
      <c r="AT443" s="157" t="s">
        <v>154</v>
      </c>
      <c r="AU443" s="157" t="s">
        <v>85</v>
      </c>
      <c r="AV443" s="14" t="s">
        <v>85</v>
      </c>
      <c r="AW443" s="14" t="s">
        <v>37</v>
      </c>
      <c r="AX443" s="14" t="s">
        <v>75</v>
      </c>
      <c r="AY443" s="157" t="s">
        <v>144</v>
      </c>
    </row>
    <row r="444" spans="2:51" s="14" customFormat="1" ht="12">
      <c r="B444" s="156"/>
      <c r="D444" s="150" t="s">
        <v>154</v>
      </c>
      <c r="E444" s="157" t="s">
        <v>3</v>
      </c>
      <c r="F444" s="158" t="s">
        <v>564</v>
      </c>
      <c r="H444" s="159">
        <v>2</v>
      </c>
      <c r="I444" s="280"/>
      <c r="L444" s="156"/>
      <c r="M444" s="160"/>
      <c r="N444" s="161"/>
      <c r="O444" s="161"/>
      <c r="P444" s="161"/>
      <c r="Q444" s="161"/>
      <c r="R444" s="161"/>
      <c r="S444" s="161"/>
      <c r="T444" s="162"/>
      <c r="AT444" s="157" t="s">
        <v>154</v>
      </c>
      <c r="AU444" s="157" t="s">
        <v>85</v>
      </c>
      <c r="AV444" s="14" t="s">
        <v>85</v>
      </c>
      <c r="AW444" s="14" t="s">
        <v>37</v>
      </c>
      <c r="AX444" s="14" t="s">
        <v>75</v>
      </c>
      <c r="AY444" s="157" t="s">
        <v>144</v>
      </c>
    </row>
    <row r="445" spans="2:51" s="14" customFormat="1" ht="12">
      <c r="B445" s="156"/>
      <c r="D445" s="150" t="s">
        <v>154</v>
      </c>
      <c r="E445" s="157" t="s">
        <v>3</v>
      </c>
      <c r="F445" s="158" t="s">
        <v>1898</v>
      </c>
      <c r="H445" s="159">
        <v>2</v>
      </c>
      <c r="I445" s="280"/>
      <c r="L445" s="156"/>
      <c r="M445" s="160"/>
      <c r="N445" s="161"/>
      <c r="O445" s="161"/>
      <c r="P445" s="161"/>
      <c r="Q445" s="161"/>
      <c r="R445" s="161"/>
      <c r="S445" s="161"/>
      <c r="T445" s="162"/>
      <c r="AT445" s="157" t="s">
        <v>154</v>
      </c>
      <c r="AU445" s="157" t="s">
        <v>85</v>
      </c>
      <c r="AV445" s="14" t="s">
        <v>85</v>
      </c>
      <c r="AW445" s="14" t="s">
        <v>37</v>
      </c>
      <c r="AX445" s="14" t="s">
        <v>75</v>
      </c>
      <c r="AY445" s="157" t="s">
        <v>144</v>
      </c>
    </row>
    <row r="446" spans="2:51" s="14" customFormat="1" ht="12">
      <c r="B446" s="156"/>
      <c r="D446" s="150" t="s">
        <v>154</v>
      </c>
      <c r="E446" s="157" t="s">
        <v>3</v>
      </c>
      <c r="F446" s="158" t="s">
        <v>1899</v>
      </c>
      <c r="H446" s="159">
        <v>2</v>
      </c>
      <c r="I446" s="280"/>
      <c r="L446" s="156"/>
      <c r="M446" s="160"/>
      <c r="N446" s="161"/>
      <c r="O446" s="161"/>
      <c r="P446" s="161"/>
      <c r="Q446" s="161"/>
      <c r="R446" s="161"/>
      <c r="S446" s="161"/>
      <c r="T446" s="162"/>
      <c r="AT446" s="157" t="s">
        <v>154</v>
      </c>
      <c r="AU446" s="157" t="s">
        <v>85</v>
      </c>
      <c r="AV446" s="14" t="s">
        <v>85</v>
      </c>
      <c r="AW446" s="14" t="s">
        <v>37</v>
      </c>
      <c r="AX446" s="14" t="s">
        <v>75</v>
      </c>
      <c r="AY446" s="157" t="s">
        <v>144</v>
      </c>
    </row>
    <row r="447" spans="2:51" s="13" customFormat="1" ht="12">
      <c r="B447" s="149"/>
      <c r="D447" s="150" t="s">
        <v>154</v>
      </c>
      <c r="E447" s="151" t="s">
        <v>3</v>
      </c>
      <c r="F447" s="152" t="s">
        <v>566</v>
      </c>
      <c r="H447" s="151" t="s">
        <v>3</v>
      </c>
      <c r="I447" s="282"/>
      <c r="L447" s="149"/>
      <c r="M447" s="153"/>
      <c r="N447" s="154"/>
      <c r="O447" s="154"/>
      <c r="P447" s="154"/>
      <c r="Q447" s="154"/>
      <c r="R447" s="154"/>
      <c r="S447" s="154"/>
      <c r="T447" s="155"/>
      <c r="AT447" s="151" t="s">
        <v>154</v>
      </c>
      <c r="AU447" s="151" t="s">
        <v>85</v>
      </c>
      <c r="AV447" s="13" t="s">
        <v>83</v>
      </c>
      <c r="AW447" s="13" t="s">
        <v>37</v>
      </c>
      <c r="AX447" s="13" t="s">
        <v>75</v>
      </c>
      <c r="AY447" s="151" t="s">
        <v>144</v>
      </c>
    </row>
    <row r="448" spans="2:51" s="14" customFormat="1" ht="12">
      <c r="B448" s="156"/>
      <c r="D448" s="150" t="s">
        <v>154</v>
      </c>
      <c r="E448" s="157" t="s">
        <v>3</v>
      </c>
      <c r="F448" s="158" t="s">
        <v>567</v>
      </c>
      <c r="H448" s="159">
        <v>2</v>
      </c>
      <c r="I448" s="280"/>
      <c r="L448" s="156"/>
      <c r="M448" s="160"/>
      <c r="N448" s="161"/>
      <c r="O448" s="161"/>
      <c r="P448" s="161"/>
      <c r="Q448" s="161"/>
      <c r="R448" s="161"/>
      <c r="S448" s="161"/>
      <c r="T448" s="162"/>
      <c r="AT448" s="157" t="s">
        <v>154</v>
      </c>
      <c r="AU448" s="157" t="s">
        <v>85</v>
      </c>
      <c r="AV448" s="14" t="s">
        <v>85</v>
      </c>
      <c r="AW448" s="14" t="s">
        <v>37</v>
      </c>
      <c r="AX448" s="14" t="s">
        <v>75</v>
      </c>
      <c r="AY448" s="157" t="s">
        <v>144</v>
      </c>
    </row>
    <row r="449" spans="2:51" s="15" customFormat="1" ht="12">
      <c r="B449" s="166"/>
      <c r="D449" s="150" t="s">
        <v>154</v>
      </c>
      <c r="E449" s="167" t="s">
        <v>3</v>
      </c>
      <c r="F449" s="168" t="s">
        <v>161</v>
      </c>
      <c r="H449" s="169">
        <v>10</v>
      </c>
      <c r="I449" s="284"/>
      <c r="L449" s="166"/>
      <c r="M449" s="170"/>
      <c r="N449" s="171"/>
      <c r="O449" s="171"/>
      <c r="P449" s="171"/>
      <c r="Q449" s="171"/>
      <c r="R449" s="171"/>
      <c r="S449" s="171"/>
      <c r="T449" s="172"/>
      <c r="AT449" s="167" t="s">
        <v>154</v>
      </c>
      <c r="AU449" s="167" t="s">
        <v>85</v>
      </c>
      <c r="AV449" s="15" t="s">
        <v>152</v>
      </c>
      <c r="AW449" s="15" t="s">
        <v>37</v>
      </c>
      <c r="AX449" s="15" t="s">
        <v>83</v>
      </c>
      <c r="AY449" s="167" t="s">
        <v>144</v>
      </c>
    </row>
    <row r="450" spans="1:65" s="2" customFormat="1" ht="37.9" customHeight="1">
      <c r="A450" s="31"/>
      <c r="B450" s="136"/>
      <c r="C450" s="137" t="s">
        <v>568</v>
      </c>
      <c r="D450" s="137" t="s">
        <v>147</v>
      </c>
      <c r="E450" s="138" t="s">
        <v>569</v>
      </c>
      <c r="F450" s="139" t="s">
        <v>570</v>
      </c>
      <c r="G450" s="140" t="s">
        <v>387</v>
      </c>
      <c r="H450" s="141">
        <v>5.38</v>
      </c>
      <c r="I450" s="278"/>
      <c r="J450" s="142">
        <f>ROUND(I450*H450,2)</f>
        <v>0</v>
      </c>
      <c r="K450" s="139" t="s">
        <v>157</v>
      </c>
      <c r="L450" s="32"/>
      <c r="M450" s="143" t="s">
        <v>3</v>
      </c>
      <c r="N450" s="144" t="s">
        <v>46</v>
      </c>
      <c r="O450" s="145">
        <v>0</v>
      </c>
      <c r="P450" s="145">
        <f>O450*H450</f>
        <v>0</v>
      </c>
      <c r="Q450" s="145">
        <v>0</v>
      </c>
      <c r="R450" s="145">
        <f>Q450*H450</f>
        <v>0</v>
      </c>
      <c r="S450" s="145">
        <v>0</v>
      </c>
      <c r="T450" s="146">
        <f>S450*H450</f>
        <v>0</v>
      </c>
      <c r="U450" s="31"/>
      <c r="V450" s="31"/>
      <c r="W450" s="31"/>
      <c r="X450" s="31"/>
      <c r="Y450" s="31"/>
      <c r="Z450" s="31"/>
      <c r="AA450" s="31"/>
      <c r="AB450" s="31"/>
      <c r="AC450" s="31"/>
      <c r="AD450" s="31"/>
      <c r="AE450" s="31"/>
      <c r="AR450" s="147" t="s">
        <v>218</v>
      </c>
      <c r="AT450" s="147" t="s">
        <v>147</v>
      </c>
      <c r="AU450" s="147" t="s">
        <v>85</v>
      </c>
      <c r="AY450" s="19" t="s">
        <v>144</v>
      </c>
      <c r="BE450" s="148">
        <f>IF(N450="základní",J450,0)</f>
        <v>0</v>
      </c>
      <c r="BF450" s="148">
        <f>IF(N450="snížená",J450,0)</f>
        <v>0</v>
      </c>
      <c r="BG450" s="148">
        <f>IF(N450="zákl. přenesená",J450,0)</f>
        <v>0</v>
      </c>
      <c r="BH450" s="148">
        <f>IF(N450="sníž. přenesená",J450,0)</f>
        <v>0</v>
      </c>
      <c r="BI450" s="148">
        <f>IF(N450="nulová",J450,0)</f>
        <v>0</v>
      </c>
      <c r="BJ450" s="19" t="s">
        <v>83</v>
      </c>
      <c r="BK450" s="148">
        <f>ROUND(I450*H450,2)</f>
        <v>0</v>
      </c>
      <c r="BL450" s="19" t="s">
        <v>218</v>
      </c>
      <c r="BM450" s="147" t="s">
        <v>571</v>
      </c>
    </row>
    <row r="451" spans="1:47" s="2" customFormat="1" ht="126.75">
      <c r="A451" s="31"/>
      <c r="B451" s="32"/>
      <c r="C451" s="31"/>
      <c r="D451" s="150" t="s">
        <v>158</v>
      </c>
      <c r="E451" s="31"/>
      <c r="F451" s="163" t="s">
        <v>572</v>
      </c>
      <c r="G451" s="31"/>
      <c r="H451" s="31"/>
      <c r="I451" s="279"/>
      <c r="J451" s="31"/>
      <c r="K451" s="31"/>
      <c r="L451" s="32"/>
      <c r="M451" s="164"/>
      <c r="N451" s="165"/>
      <c r="O451" s="52"/>
      <c r="P451" s="52"/>
      <c r="Q451" s="52"/>
      <c r="R451" s="52"/>
      <c r="S451" s="52"/>
      <c r="T451" s="53"/>
      <c r="U451" s="31"/>
      <c r="V451" s="31"/>
      <c r="W451" s="31"/>
      <c r="X451" s="31"/>
      <c r="Y451" s="31"/>
      <c r="Z451" s="31"/>
      <c r="AA451" s="31"/>
      <c r="AB451" s="31"/>
      <c r="AC451" s="31"/>
      <c r="AD451" s="31"/>
      <c r="AE451" s="31"/>
      <c r="AT451" s="19" t="s">
        <v>158</v>
      </c>
      <c r="AU451" s="19" t="s">
        <v>85</v>
      </c>
    </row>
    <row r="452" spans="1:65" s="2" customFormat="1" ht="49.15" customHeight="1">
      <c r="A452" s="31"/>
      <c r="B452" s="136"/>
      <c r="C452" s="137" t="s">
        <v>573</v>
      </c>
      <c r="D452" s="137" t="s">
        <v>147</v>
      </c>
      <c r="E452" s="138" t="s">
        <v>574</v>
      </c>
      <c r="F452" s="139" t="s">
        <v>575</v>
      </c>
      <c r="G452" s="140" t="s">
        <v>387</v>
      </c>
      <c r="H452" s="141">
        <v>5.38</v>
      </c>
      <c r="I452" s="278"/>
      <c r="J452" s="142">
        <f>ROUND(I452*H452,2)</f>
        <v>0</v>
      </c>
      <c r="K452" s="139" t="s">
        <v>157</v>
      </c>
      <c r="L452" s="32"/>
      <c r="M452" s="143" t="s">
        <v>3</v>
      </c>
      <c r="N452" s="144" t="s">
        <v>46</v>
      </c>
      <c r="O452" s="145">
        <v>0</v>
      </c>
      <c r="P452" s="145">
        <f>O452*H452</f>
        <v>0</v>
      </c>
      <c r="Q452" s="145">
        <v>0</v>
      </c>
      <c r="R452" s="145">
        <f>Q452*H452</f>
        <v>0</v>
      </c>
      <c r="S452" s="145">
        <v>0</v>
      </c>
      <c r="T452" s="146">
        <f>S452*H452</f>
        <v>0</v>
      </c>
      <c r="U452" s="31"/>
      <c r="V452" s="31"/>
      <c r="W452" s="31"/>
      <c r="X452" s="31"/>
      <c r="Y452" s="31"/>
      <c r="Z452" s="31"/>
      <c r="AA452" s="31"/>
      <c r="AB452" s="31"/>
      <c r="AC452" s="31"/>
      <c r="AD452" s="31"/>
      <c r="AE452" s="31"/>
      <c r="AR452" s="147" t="s">
        <v>218</v>
      </c>
      <c r="AT452" s="147" t="s">
        <v>147</v>
      </c>
      <c r="AU452" s="147" t="s">
        <v>85</v>
      </c>
      <c r="AY452" s="19" t="s">
        <v>144</v>
      </c>
      <c r="BE452" s="148">
        <f>IF(N452="základní",J452,0)</f>
        <v>0</v>
      </c>
      <c r="BF452" s="148">
        <f>IF(N452="snížená",J452,0)</f>
        <v>0</v>
      </c>
      <c r="BG452" s="148">
        <f>IF(N452="zákl. přenesená",J452,0)</f>
        <v>0</v>
      </c>
      <c r="BH452" s="148">
        <f>IF(N452="sníž. přenesená",J452,0)</f>
        <v>0</v>
      </c>
      <c r="BI452" s="148">
        <f>IF(N452="nulová",J452,0)</f>
        <v>0</v>
      </c>
      <c r="BJ452" s="19" t="s">
        <v>83</v>
      </c>
      <c r="BK452" s="148">
        <f>ROUND(I452*H452,2)</f>
        <v>0</v>
      </c>
      <c r="BL452" s="19" t="s">
        <v>218</v>
      </c>
      <c r="BM452" s="147" t="s">
        <v>576</v>
      </c>
    </row>
    <row r="453" spans="1:47" s="2" customFormat="1" ht="126.75">
      <c r="A453" s="31"/>
      <c r="B453" s="32"/>
      <c r="C453" s="31"/>
      <c r="D453" s="150" t="s">
        <v>158</v>
      </c>
      <c r="E453" s="31"/>
      <c r="F453" s="163" t="s">
        <v>572</v>
      </c>
      <c r="G453" s="31"/>
      <c r="H453" s="31"/>
      <c r="I453" s="279"/>
      <c r="J453" s="31"/>
      <c r="K453" s="31"/>
      <c r="L453" s="32"/>
      <c r="M453" s="164"/>
      <c r="N453" s="165"/>
      <c r="O453" s="52"/>
      <c r="P453" s="52"/>
      <c r="Q453" s="52"/>
      <c r="R453" s="52"/>
      <c r="S453" s="52"/>
      <c r="T453" s="53"/>
      <c r="U453" s="31"/>
      <c r="V453" s="31"/>
      <c r="W453" s="31"/>
      <c r="X453" s="31"/>
      <c r="Y453" s="31"/>
      <c r="Z453" s="31"/>
      <c r="AA453" s="31"/>
      <c r="AB453" s="31"/>
      <c r="AC453" s="31"/>
      <c r="AD453" s="31"/>
      <c r="AE453" s="31"/>
      <c r="AT453" s="19" t="s">
        <v>158</v>
      </c>
      <c r="AU453" s="19" t="s">
        <v>85</v>
      </c>
    </row>
    <row r="454" spans="2:63" s="12" customFormat="1" ht="22.9" customHeight="1">
      <c r="B454" s="124"/>
      <c r="D454" s="125" t="s">
        <v>74</v>
      </c>
      <c r="E454" s="134" t="s">
        <v>577</v>
      </c>
      <c r="F454" s="134" t="s">
        <v>578</v>
      </c>
      <c r="I454" s="285"/>
      <c r="J454" s="135">
        <f>BK454</f>
        <v>0</v>
      </c>
      <c r="L454" s="124"/>
      <c r="M454" s="128"/>
      <c r="N454" s="129"/>
      <c r="O454" s="129"/>
      <c r="P454" s="130">
        <f>SUM(P455:P510)</f>
        <v>72.77811999999999</v>
      </c>
      <c r="Q454" s="129"/>
      <c r="R454" s="130">
        <f>SUM(R455:R510)</f>
        <v>1.4802625</v>
      </c>
      <c r="S454" s="129"/>
      <c r="T454" s="131">
        <f>SUM(T455:T510)</f>
        <v>0</v>
      </c>
      <c r="AR454" s="125" t="s">
        <v>85</v>
      </c>
      <c r="AT454" s="132" t="s">
        <v>74</v>
      </c>
      <c r="AU454" s="132" t="s">
        <v>83</v>
      </c>
      <c r="AY454" s="125" t="s">
        <v>144</v>
      </c>
      <c r="BK454" s="133">
        <f>SUM(BK455:BK510)</f>
        <v>0</v>
      </c>
    </row>
    <row r="455" spans="1:65" s="2" customFormat="1" ht="24.2" customHeight="1">
      <c r="A455" s="31"/>
      <c r="B455" s="136"/>
      <c r="C455" s="137" t="s">
        <v>579</v>
      </c>
      <c r="D455" s="137" t="s">
        <v>147</v>
      </c>
      <c r="E455" s="138" t="s">
        <v>580</v>
      </c>
      <c r="F455" s="139" t="s">
        <v>581</v>
      </c>
      <c r="G455" s="140" t="s">
        <v>183</v>
      </c>
      <c r="H455" s="141">
        <f>H462</f>
        <v>34.89</v>
      </c>
      <c r="I455" s="278"/>
      <c r="J455" s="142">
        <f>ROUND(I455*H455,2)</f>
        <v>0</v>
      </c>
      <c r="K455" s="139" t="s">
        <v>157</v>
      </c>
      <c r="L455" s="32"/>
      <c r="M455" s="143" t="s">
        <v>3</v>
      </c>
      <c r="N455" s="144" t="s">
        <v>46</v>
      </c>
      <c r="O455" s="145">
        <v>0.024</v>
      </c>
      <c r="P455" s="145">
        <f>O455*H455</f>
        <v>0.83736</v>
      </c>
      <c r="Q455" s="145">
        <v>0</v>
      </c>
      <c r="R455" s="145">
        <f>Q455*H455</f>
        <v>0</v>
      </c>
      <c r="S455" s="145">
        <v>0</v>
      </c>
      <c r="T455" s="146">
        <f>S455*H455</f>
        <v>0</v>
      </c>
      <c r="U455" s="31"/>
      <c r="V455" s="31"/>
      <c r="W455" s="31"/>
      <c r="X455" s="31"/>
      <c r="Y455" s="31"/>
      <c r="Z455" s="31"/>
      <c r="AA455" s="31"/>
      <c r="AB455" s="31"/>
      <c r="AC455" s="31"/>
      <c r="AD455" s="31"/>
      <c r="AE455" s="31"/>
      <c r="AR455" s="147" t="s">
        <v>218</v>
      </c>
      <c r="AT455" s="147" t="s">
        <v>147</v>
      </c>
      <c r="AU455" s="147" t="s">
        <v>85</v>
      </c>
      <c r="AY455" s="19" t="s">
        <v>144</v>
      </c>
      <c r="BE455" s="148">
        <f>IF(N455="základní",J455,0)</f>
        <v>0</v>
      </c>
      <c r="BF455" s="148">
        <f>IF(N455="snížená",J455,0)</f>
        <v>0</v>
      </c>
      <c r="BG455" s="148">
        <f>IF(N455="zákl. přenesená",J455,0)</f>
        <v>0</v>
      </c>
      <c r="BH455" s="148">
        <f>IF(N455="sníž. přenesená",J455,0)</f>
        <v>0</v>
      </c>
      <c r="BI455" s="148">
        <f>IF(N455="nulová",J455,0)</f>
        <v>0</v>
      </c>
      <c r="BJ455" s="19" t="s">
        <v>83</v>
      </c>
      <c r="BK455" s="148">
        <f>ROUND(I455*H455,2)</f>
        <v>0</v>
      </c>
      <c r="BL455" s="19" t="s">
        <v>218</v>
      </c>
      <c r="BM455" s="147" t="s">
        <v>582</v>
      </c>
    </row>
    <row r="456" spans="1:47" s="2" customFormat="1" ht="78">
      <c r="A456" s="31"/>
      <c r="B456" s="32"/>
      <c r="C456" s="31"/>
      <c r="D456" s="150" t="s">
        <v>158</v>
      </c>
      <c r="E456" s="31"/>
      <c r="F456" s="163" t="s">
        <v>583</v>
      </c>
      <c r="G456" s="31"/>
      <c r="H456" s="31"/>
      <c r="I456" s="279"/>
      <c r="J456" s="31"/>
      <c r="K456" s="31"/>
      <c r="L456" s="32"/>
      <c r="M456" s="164"/>
      <c r="N456" s="165"/>
      <c r="O456" s="52"/>
      <c r="P456" s="52"/>
      <c r="Q456" s="52"/>
      <c r="R456" s="52"/>
      <c r="S456" s="52"/>
      <c r="T456" s="53"/>
      <c r="U456" s="31"/>
      <c r="V456" s="31"/>
      <c r="W456" s="31"/>
      <c r="X456" s="31"/>
      <c r="Y456" s="31"/>
      <c r="Z456" s="31"/>
      <c r="AA456" s="31"/>
      <c r="AB456" s="31"/>
      <c r="AC456" s="31"/>
      <c r="AD456" s="31"/>
      <c r="AE456" s="31"/>
      <c r="AT456" s="19" t="s">
        <v>158</v>
      </c>
      <c r="AU456" s="19" t="s">
        <v>85</v>
      </c>
    </row>
    <row r="457" spans="2:51" s="13" customFormat="1" ht="12">
      <c r="B457" s="149"/>
      <c r="D457" s="150" t="s">
        <v>154</v>
      </c>
      <c r="E457" s="151" t="s">
        <v>3</v>
      </c>
      <c r="F457" s="152" t="s">
        <v>239</v>
      </c>
      <c r="H457" s="151" t="s">
        <v>3</v>
      </c>
      <c r="I457" s="282"/>
      <c r="L457" s="149"/>
      <c r="M457" s="153"/>
      <c r="N457" s="154"/>
      <c r="O457" s="154"/>
      <c r="P457" s="154"/>
      <c r="Q457" s="154"/>
      <c r="R457" s="154"/>
      <c r="S457" s="154"/>
      <c r="T457" s="155"/>
      <c r="AT457" s="151" t="s">
        <v>154</v>
      </c>
      <c r="AU457" s="151" t="s">
        <v>85</v>
      </c>
      <c r="AV457" s="13" t="s">
        <v>83</v>
      </c>
      <c r="AW457" s="13" t="s">
        <v>37</v>
      </c>
      <c r="AX457" s="13" t="s">
        <v>75</v>
      </c>
      <c r="AY457" s="151" t="s">
        <v>144</v>
      </c>
    </row>
    <row r="458" spans="2:51" s="13" customFormat="1" ht="12">
      <c r="B458" s="149"/>
      <c r="D458" s="150" t="s">
        <v>154</v>
      </c>
      <c r="E458" s="151" t="s">
        <v>3</v>
      </c>
      <c r="F458" s="152" t="s">
        <v>166</v>
      </c>
      <c r="H458" s="151" t="s">
        <v>3</v>
      </c>
      <c r="I458" s="282"/>
      <c r="L458" s="149"/>
      <c r="M458" s="153"/>
      <c r="N458" s="154"/>
      <c r="O458" s="154"/>
      <c r="P458" s="154"/>
      <c r="Q458" s="154"/>
      <c r="R458" s="154"/>
      <c r="S458" s="154"/>
      <c r="T458" s="155"/>
      <c r="AT458" s="151" t="s">
        <v>154</v>
      </c>
      <c r="AU458" s="151" t="s">
        <v>85</v>
      </c>
      <c r="AV458" s="13" t="s">
        <v>83</v>
      </c>
      <c r="AW458" s="13" t="s">
        <v>37</v>
      </c>
      <c r="AX458" s="13" t="s">
        <v>75</v>
      </c>
      <c r="AY458" s="151" t="s">
        <v>144</v>
      </c>
    </row>
    <row r="459" spans="2:51" s="14" customFormat="1" ht="12">
      <c r="B459" s="156"/>
      <c r="D459" s="150" t="s">
        <v>154</v>
      </c>
      <c r="E459" s="157" t="s">
        <v>3</v>
      </c>
      <c r="F459" s="158" t="s">
        <v>1900</v>
      </c>
      <c r="H459" s="159">
        <f>5.07+5.07+1.36+5.17+1.22+1.32+6.93+3.14</f>
        <v>29.28</v>
      </c>
      <c r="I459" s="280"/>
      <c r="L459" s="156"/>
      <c r="M459" s="160"/>
      <c r="N459" s="161"/>
      <c r="O459" s="161"/>
      <c r="P459" s="161"/>
      <c r="Q459" s="161"/>
      <c r="R459" s="161"/>
      <c r="S459" s="161"/>
      <c r="T459" s="162"/>
      <c r="AT459" s="157" t="s">
        <v>154</v>
      </c>
      <c r="AU459" s="157" t="s">
        <v>85</v>
      </c>
      <c r="AV459" s="14" t="s">
        <v>85</v>
      </c>
      <c r="AW459" s="14" t="s">
        <v>37</v>
      </c>
      <c r="AX459" s="14" t="s">
        <v>75</v>
      </c>
      <c r="AY459" s="157" t="s">
        <v>144</v>
      </c>
    </row>
    <row r="460" spans="2:51" s="13" customFormat="1" ht="12">
      <c r="B460" s="149"/>
      <c r="D460" s="150" t="s">
        <v>154</v>
      </c>
      <c r="E460" s="151" t="s">
        <v>3</v>
      </c>
      <c r="F460" s="152" t="s">
        <v>167</v>
      </c>
      <c r="H460" s="151" t="s">
        <v>3</v>
      </c>
      <c r="I460" s="282"/>
      <c r="L460" s="149"/>
      <c r="M460" s="153"/>
      <c r="N460" s="154"/>
      <c r="O460" s="154"/>
      <c r="P460" s="154"/>
      <c r="Q460" s="154"/>
      <c r="R460" s="154"/>
      <c r="S460" s="154"/>
      <c r="T460" s="155"/>
      <c r="AT460" s="151" t="s">
        <v>154</v>
      </c>
      <c r="AU460" s="151" t="s">
        <v>85</v>
      </c>
      <c r="AV460" s="13" t="s">
        <v>83</v>
      </c>
      <c r="AW460" s="13" t="s">
        <v>37</v>
      </c>
      <c r="AX460" s="13" t="s">
        <v>75</v>
      </c>
      <c r="AY460" s="151" t="s">
        <v>144</v>
      </c>
    </row>
    <row r="461" spans="2:51" s="14" customFormat="1" ht="12">
      <c r="B461" s="156"/>
      <c r="D461" s="150" t="s">
        <v>154</v>
      </c>
      <c r="E461" s="157" t="s">
        <v>3</v>
      </c>
      <c r="F461" s="158" t="s">
        <v>1893</v>
      </c>
      <c r="H461" s="159">
        <f>2.84+2.77</f>
        <v>5.609999999999999</v>
      </c>
      <c r="I461" s="280"/>
      <c r="L461" s="156"/>
      <c r="M461" s="160"/>
      <c r="N461" s="161"/>
      <c r="O461" s="161"/>
      <c r="P461" s="161"/>
      <c r="Q461" s="161"/>
      <c r="R461" s="161"/>
      <c r="S461" s="161"/>
      <c r="T461" s="162"/>
      <c r="AT461" s="157" t="s">
        <v>154</v>
      </c>
      <c r="AU461" s="157" t="s">
        <v>85</v>
      </c>
      <c r="AV461" s="14" t="s">
        <v>85</v>
      </c>
      <c r="AW461" s="14" t="s">
        <v>37</v>
      </c>
      <c r="AX461" s="14" t="s">
        <v>75</v>
      </c>
      <c r="AY461" s="157" t="s">
        <v>144</v>
      </c>
    </row>
    <row r="462" spans="2:51" s="15" customFormat="1" ht="12">
      <c r="B462" s="166"/>
      <c r="D462" s="150" t="s">
        <v>154</v>
      </c>
      <c r="E462" s="167" t="s">
        <v>3</v>
      </c>
      <c r="F462" s="168" t="s">
        <v>161</v>
      </c>
      <c r="H462" s="169">
        <f>H459+H461</f>
        <v>34.89</v>
      </c>
      <c r="I462" s="284"/>
      <c r="L462" s="166"/>
      <c r="M462" s="170"/>
      <c r="N462" s="171"/>
      <c r="O462" s="171"/>
      <c r="P462" s="171"/>
      <c r="Q462" s="171"/>
      <c r="R462" s="171"/>
      <c r="S462" s="171"/>
      <c r="T462" s="172"/>
      <c r="AT462" s="167" t="s">
        <v>154</v>
      </c>
      <c r="AU462" s="167" t="s">
        <v>85</v>
      </c>
      <c r="AV462" s="15" t="s">
        <v>152</v>
      </c>
      <c r="AW462" s="15" t="s">
        <v>37</v>
      </c>
      <c r="AX462" s="15" t="s">
        <v>83</v>
      </c>
      <c r="AY462" s="167" t="s">
        <v>144</v>
      </c>
    </row>
    <row r="463" spans="1:65" s="2" customFormat="1" ht="24.2" customHeight="1">
      <c r="A463" s="31"/>
      <c r="B463" s="136"/>
      <c r="C463" s="137" t="s">
        <v>584</v>
      </c>
      <c r="D463" s="137" t="s">
        <v>147</v>
      </c>
      <c r="E463" s="138" t="s">
        <v>585</v>
      </c>
      <c r="F463" s="139" t="s">
        <v>586</v>
      </c>
      <c r="G463" s="140" t="s">
        <v>183</v>
      </c>
      <c r="H463" s="141">
        <f>H455</f>
        <v>34.89</v>
      </c>
      <c r="I463" s="278"/>
      <c r="J463" s="142">
        <f>ROUND(I463*H463,2)</f>
        <v>0</v>
      </c>
      <c r="K463" s="139" t="s">
        <v>157</v>
      </c>
      <c r="L463" s="32"/>
      <c r="M463" s="143" t="s">
        <v>3</v>
      </c>
      <c r="N463" s="144" t="s">
        <v>46</v>
      </c>
      <c r="O463" s="145">
        <v>0.044</v>
      </c>
      <c r="P463" s="145">
        <f>O463*H463</f>
        <v>1.5351599999999999</v>
      </c>
      <c r="Q463" s="145">
        <v>0.0003</v>
      </c>
      <c r="R463" s="145">
        <f>Q463*H463</f>
        <v>0.010466999999999999</v>
      </c>
      <c r="S463" s="145">
        <v>0</v>
      </c>
      <c r="T463" s="146">
        <f>S463*H463</f>
        <v>0</v>
      </c>
      <c r="U463" s="31"/>
      <c r="V463" s="31"/>
      <c r="W463" s="31"/>
      <c r="X463" s="31"/>
      <c r="Y463" s="31"/>
      <c r="Z463" s="31"/>
      <c r="AA463" s="31"/>
      <c r="AB463" s="31"/>
      <c r="AC463" s="31"/>
      <c r="AD463" s="31"/>
      <c r="AE463" s="31"/>
      <c r="AR463" s="147" t="s">
        <v>218</v>
      </c>
      <c r="AT463" s="147" t="s">
        <v>147</v>
      </c>
      <c r="AU463" s="147" t="s">
        <v>85</v>
      </c>
      <c r="AY463" s="19" t="s">
        <v>144</v>
      </c>
      <c r="BE463" s="148">
        <f>IF(N463="základní",J463,0)</f>
        <v>0</v>
      </c>
      <c r="BF463" s="148">
        <f>IF(N463="snížená",J463,0)</f>
        <v>0</v>
      </c>
      <c r="BG463" s="148">
        <f>IF(N463="zákl. přenesená",J463,0)</f>
        <v>0</v>
      </c>
      <c r="BH463" s="148">
        <f>IF(N463="sníž. přenesená",J463,0)</f>
        <v>0</v>
      </c>
      <c r="BI463" s="148">
        <f>IF(N463="nulová",J463,0)</f>
        <v>0</v>
      </c>
      <c r="BJ463" s="19" t="s">
        <v>83</v>
      </c>
      <c r="BK463" s="148">
        <f>ROUND(I463*H463,2)</f>
        <v>0</v>
      </c>
      <c r="BL463" s="19" t="s">
        <v>218</v>
      </c>
      <c r="BM463" s="147" t="s">
        <v>587</v>
      </c>
    </row>
    <row r="464" spans="1:47" s="2" customFormat="1" ht="78">
      <c r="A464" s="31"/>
      <c r="B464" s="32"/>
      <c r="C464" s="31"/>
      <c r="D464" s="150" t="s">
        <v>158</v>
      </c>
      <c r="E464" s="31"/>
      <c r="F464" s="163" t="s">
        <v>583</v>
      </c>
      <c r="G464" s="31"/>
      <c r="H464" s="31"/>
      <c r="I464" s="279"/>
      <c r="J464" s="31"/>
      <c r="K464" s="31"/>
      <c r="L464" s="32"/>
      <c r="M464" s="164"/>
      <c r="N464" s="165"/>
      <c r="O464" s="52"/>
      <c r="P464" s="52"/>
      <c r="Q464" s="52"/>
      <c r="R464" s="52"/>
      <c r="S464" s="52"/>
      <c r="T464" s="53"/>
      <c r="U464" s="31"/>
      <c r="V464" s="31"/>
      <c r="W464" s="31"/>
      <c r="X464" s="31"/>
      <c r="Y464" s="31"/>
      <c r="Z464" s="31"/>
      <c r="AA464" s="31"/>
      <c r="AB464" s="31"/>
      <c r="AC464" s="31"/>
      <c r="AD464" s="31"/>
      <c r="AE464" s="31"/>
      <c r="AT464" s="19" t="s">
        <v>158</v>
      </c>
      <c r="AU464" s="19" t="s">
        <v>85</v>
      </c>
    </row>
    <row r="465" spans="1:65" s="2" customFormat="1" ht="24.2" customHeight="1">
      <c r="A465" s="31"/>
      <c r="B465" s="136"/>
      <c r="C465" s="137" t="s">
        <v>588</v>
      </c>
      <c r="D465" s="137" t="s">
        <v>147</v>
      </c>
      <c r="E465" s="138" t="s">
        <v>589</v>
      </c>
      <c r="F465" s="139" t="s">
        <v>590</v>
      </c>
      <c r="G465" s="140" t="s">
        <v>201</v>
      </c>
      <c r="H465" s="141">
        <f>H468</f>
        <v>20.68</v>
      </c>
      <c r="I465" s="278"/>
      <c r="J465" s="142">
        <f>ROUND(I465*H465,2)</f>
        <v>0</v>
      </c>
      <c r="K465" s="139" t="s">
        <v>157</v>
      </c>
      <c r="L465" s="32"/>
      <c r="M465" s="143" t="s">
        <v>3</v>
      </c>
      <c r="N465" s="144" t="s">
        <v>46</v>
      </c>
      <c r="O465" s="145">
        <v>0.161</v>
      </c>
      <c r="P465" s="145">
        <f>O465*H465</f>
        <v>3.32948</v>
      </c>
      <c r="Q465" s="145">
        <v>0.0003</v>
      </c>
      <c r="R465" s="145">
        <f>Q465*H465</f>
        <v>0.0062039999999999994</v>
      </c>
      <c r="S465" s="145">
        <v>0</v>
      </c>
      <c r="T465" s="146">
        <f>S465*H465</f>
        <v>0</v>
      </c>
      <c r="U465" s="31"/>
      <c r="V465" s="31"/>
      <c r="W465" s="31"/>
      <c r="X465" s="31"/>
      <c r="Y465" s="31"/>
      <c r="Z465" s="31"/>
      <c r="AA465" s="31"/>
      <c r="AB465" s="31"/>
      <c r="AC465" s="31"/>
      <c r="AD465" s="31"/>
      <c r="AE465" s="31"/>
      <c r="AR465" s="147" t="s">
        <v>218</v>
      </c>
      <c r="AT465" s="147" t="s">
        <v>147</v>
      </c>
      <c r="AU465" s="147" t="s">
        <v>85</v>
      </c>
      <c r="AY465" s="19" t="s">
        <v>144</v>
      </c>
      <c r="BE465" s="148">
        <f>IF(N465="základní",J465,0)</f>
        <v>0</v>
      </c>
      <c r="BF465" s="148">
        <f>IF(N465="snížená",J465,0)</f>
        <v>0</v>
      </c>
      <c r="BG465" s="148">
        <f>IF(N465="zákl. přenesená",J465,0)</f>
        <v>0</v>
      </c>
      <c r="BH465" s="148">
        <f>IF(N465="sníž. přenesená",J465,0)</f>
        <v>0</v>
      </c>
      <c r="BI465" s="148">
        <f>IF(N465="nulová",J465,0)</f>
        <v>0</v>
      </c>
      <c r="BJ465" s="19" t="s">
        <v>83</v>
      </c>
      <c r="BK465" s="148">
        <f>ROUND(I465*H465,2)</f>
        <v>0</v>
      </c>
      <c r="BL465" s="19" t="s">
        <v>218</v>
      </c>
      <c r="BM465" s="147" t="s">
        <v>591</v>
      </c>
    </row>
    <row r="466" spans="2:51" s="13" customFormat="1" ht="12">
      <c r="B466" s="149"/>
      <c r="D466" s="150" t="s">
        <v>154</v>
      </c>
      <c r="E466" s="151" t="s">
        <v>3</v>
      </c>
      <c r="F466" s="152" t="s">
        <v>239</v>
      </c>
      <c r="H466" s="151" t="s">
        <v>3</v>
      </c>
      <c r="I466" s="282"/>
      <c r="L466" s="149"/>
      <c r="M466" s="153"/>
      <c r="N466" s="154"/>
      <c r="O466" s="154"/>
      <c r="P466" s="154"/>
      <c r="Q466" s="154"/>
      <c r="R466" s="154"/>
      <c r="S466" s="154"/>
      <c r="T466" s="155"/>
      <c r="AT466" s="151" t="s">
        <v>154</v>
      </c>
      <c r="AU466" s="151" t="s">
        <v>85</v>
      </c>
      <c r="AV466" s="13" t="s">
        <v>83</v>
      </c>
      <c r="AW466" s="13" t="s">
        <v>37</v>
      </c>
      <c r="AX466" s="13" t="s">
        <v>75</v>
      </c>
      <c r="AY466" s="151" t="s">
        <v>144</v>
      </c>
    </row>
    <row r="467" spans="2:51" s="13" customFormat="1" ht="12">
      <c r="B467" s="149"/>
      <c r="D467" s="150" t="s">
        <v>154</v>
      </c>
      <c r="E467" s="151" t="s">
        <v>3</v>
      </c>
      <c r="F467" s="152" t="s">
        <v>166</v>
      </c>
      <c r="H467" s="151" t="s">
        <v>3</v>
      </c>
      <c r="I467" s="282"/>
      <c r="L467" s="149"/>
      <c r="M467" s="153"/>
      <c r="N467" s="154"/>
      <c r="O467" s="154"/>
      <c r="P467" s="154"/>
      <c r="Q467" s="154"/>
      <c r="R467" s="154"/>
      <c r="S467" s="154"/>
      <c r="T467" s="155"/>
      <c r="AT467" s="151" t="s">
        <v>154</v>
      </c>
      <c r="AU467" s="151" t="s">
        <v>85</v>
      </c>
      <c r="AV467" s="13" t="s">
        <v>83</v>
      </c>
      <c r="AW467" s="13" t="s">
        <v>37</v>
      </c>
      <c r="AX467" s="13" t="s">
        <v>75</v>
      </c>
      <c r="AY467" s="151" t="s">
        <v>144</v>
      </c>
    </row>
    <row r="468" spans="2:51" s="14" customFormat="1" ht="12">
      <c r="B468" s="156"/>
      <c r="D468" s="150" t="s">
        <v>154</v>
      </c>
      <c r="E468" s="157" t="s">
        <v>3</v>
      </c>
      <c r="F468" s="158" t="s">
        <v>1901</v>
      </c>
      <c r="H468" s="159">
        <f>12+8.68</f>
        <v>20.68</v>
      </c>
      <c r="I468" s="280"/>
      <c r="L468" s="156"/>
      <c r="M468" s="160"/>
      <c r="N468" s="161"/>
      <c r="O468" s="161"/>
      <c r="P468" s="161"/>
      <c r="Q468" s="161"/>
      <c r="R468" s="161"/>
      <c r="S468" s="161"/>
      <c r="T468" s="162"/>
      <c r="AT468" s="157" t="s">
        <v>154</v>
      </c>
      <c r="AU468" s="157" t="s">
        <v>85</v>
      </c>
      <c r="AV468" s="14" t="s">
        <v>85</v>
      </c>
      <c r="AW468" s="14" t="s">
        <v>37</v>
      </c>
      <c r="AX468" s="14" t="s">
        <v>75</v>
      </c>
      <c r="AY468" s="157" t="s">
        <v>144</v>
      </c>
    </row>
    <row r="469" spans="1:65" s="2" customFormat="1" ht="37.9" customHeight="1">
      <c r="A469" s="31"/>
      <c r="B469" s="136"/>
      <c r="C469" s="137" t="s">
        <v>592</v>
      </c>
      <c r="D469" s="137" t="s">
        <v>147</v>
      </c>
      <c r="E469" s="138" t="s">
        <v>593</v>
      </c>
      <c r="F469" s="139" t="s">
        <v>594</v>
      </c>
      <c r="G469" s="140" t="s">
        <v>183</v>
      </c>
      <c r="H469" s="141">
        <f>H472</f>
        <v>34.89</v>
      </c>
      <c r="I469" s="278"/>
      <c r="J469" s="142">
        <f>ROUND(I469*H469,2)</f>
        <v>0</v>
      </c>
      <c r="K469" s="139" t="s">
        <v>157</v>
      </c>
      <c r="L469" s="32"/>
      <c r="M469" s="143" t="s">
        <v>3</v>
      </c>
      <c r="N469" s="144" t="s">
        <v>46</v>
      </c>
      <c r="O469" s="145">
        <v>1.5</v>
      </c>
      <c r="P469" s="145">
        <f>O469*H469</f>
        <v>52.335</v>
      </c>
      <c r="Q469" s="145">
        <v>0.009</v>
      </c>
      <c r="R469" s="145">
        <f>Q469*H469</f>
        <v>0.31400999999999996</v>
      </c>
      <c r="S469" s="145">
        <v>0</v>
      </c>
      <c r="T469" s="146">
        <f>S469*H469</f>
        <v>0</v>
      </c>
      <c r="U469" s="31"/>
      <c r="V469" s="31"/>
      <c r="W469" s="31"/>
      <c r="X469" s="31"/>
      <c r="Y469" s="31"/>
      <c r="Z469" s="31"/>
      <c r="AA469" s="31"/>
      <c r="AB469" s="31"/>
      <c r="AC469" s="31"/>
      <c r="AD469" s="31"/>
      <c r="AE469" s="31"/>
      <c r="AR469" s="147" t="s">
        <v>218</v>
      </c>
      <c r="AT469" s="147" t="s">
        <v>147</v>
      </c>
      <c r="AU469" s="147" t="s">
        <v>85</v>
      </c>
      <c r="AY469" s="19" t="s">
        <v>144</v>
      </c>
      <c r="BE469" s="148">
        <f>IF(N469="základní",J469,0)</f>
        <v>0</v>
      </c>
      <c r="BF469" s="148">
        <f>IF(N469="snížená",J469,0)</f>
        <v>0</v>
      </c>
      <c r="BG469" s="148">
        <f>IF(N469="zákl. přenesená",J469,0)</f>
        <v>0</v>
      </c>
      <c r="BH469" s="148">
        <f>IF(N469="sníž. přenesená",J469,0)</f>
        <v>0</v>
      </c>
      <c r="BI469" s="148">
        <f>IF(N469="nulová",J469,0)</f>
        <v>0</v>
      </c>
      <c r="BJ469" s="19" t="s">
        <v>83</v>
      </c>
      <c r="BK469" s="148">
        <f>ROUND(I469*H469,2)</f>
        <v>0</v>
      </c>
      <c r="BL469" s="19" t="s">
        <v>218</v>
      </c>
      <c r="BM469" s="147" t="s">
        <v>595</v>
      </c>
    </row>
    <row r="470" spans="1:47" s="2" customFormat="1" ht="29.25">
      <c r="A470" s="31"/>
      <c r="B470" s="32"/>
      <c r="C470" s="31"/>
      <c r="D470" s="150" t="s">
        <v>158</v>
      </c>
      <c r="E470" s="31"/>
      <c r="F470" s="163" t="s">
        <v>596</v>
      </c>
      <c r="G470" s="31"/>
      <c r="H470" s="31"/>
      <c r="I470" s="279"/>
      <c r="J470" s="31"/>
      <c r="K470" s="31"/>
      <c r="L470" s="32"/>
      <c r="M470" s="164"/>
      <c r="N470" s="165"/>
      <c r="O470" s="52"/>
      <c r="P470" s="52"/>
      <c r="Q470" s="52"/>
      <c r="R470" s="52"/>
      <c r="S470" s="52"/>
      <c r="T470" s="53"/>
      <c r="U470" s="31"/>
      <c r="V470" s="31"/>
      <c r="W470" s="31"/>
      <c r="X470" s="31"/>
      <c r="Y470" s="31"/>
      <c r="Z470" s="31"/>
      <c r="AA470" s="31"/>
      <c r="AB470" s="31"/>
      <c r="AC470" s="31"/>
      <c r="AD470" s="31"/>
      <c r="AE470" s="31"/>
      <c r="AT470" s="19" t="s">
        <v>158</v>
      </c>
      <c r="AU470" s="19" t="s">
        <v>85</v>
      </c>
    </row>
    <row r="471" spans="2:51" s="13" customFormat="1" ht="12">
      <c r="B471" s="149"/>
      <c r="D471" s="150" t="s">
        <v>154</v>
      </c>
      <c r="E471" s="151" t="s">
        <v>3</v>
      </c>
      <c r="F471" s="152" t="s">
        <v>216</v>
      </c>
      <c r="H471" s="151" t="s">
        <v>3</v>
      </c>
      <c r="I471" s="282"/>
      <c r="L471" s="149"/>
      <c r="M471" s="153"/>
      <c r="N471" s="154"/>
      <c r="O471" s="154"/>
      <c r="P471" s="154"/>
      <c r="Q471" s="154"/>
      <c r="R471" s="154"/>
      <c r="S471" s="154"/>
      <c r="T471" s="155"/>
      <c r="AT471" s="151" t="s">
        <v>154</v>
      </c>
      <c r="AU471" s="151" t="s">
        <v>85</v>
      </c>
      <c r="AV471" s="13" t="s">
        <v>83</v>
      </c>
      <c r="AW471" s="13" t="s">
        <v>37</v>
      </c>
      <c r="AX471" s="13" t="s">
        <v>75</v>
      </c>
      <c r="AY471" s="151" t="s">
        <v>144</v>
      </c>
    </row>
    <row r="472" spans="2:51" s="14" customFormat="1" ht="12">
      <c r="B472" s="156"/>
      <c r="D472" s="150" t="s">
        <v>154</v>
      </c>
      <c r="E472" s="157" t="s">
        <v>3</v>
      </c>
      <c r="F472" s="300">
        <f>H455</f>
        <v>34.89</v>
      </c>
      <c r="H472" s="159">
        <f>H455</f>
        <v>34.89</v>
      </c>
      <c r="I472" s="280"/>
      <c r="L472" s="156"/>
      <c r="M472" s="160"/>
      <c r="N472" s="161"/>
      <c r="O472" s="161"/>
      <c r="P472" s="161"/>
      <c r="Q472" s="161"/>
      <c r="R472" s="161"/>
      <c r="S472" s="161"/>
      <c r="T472" s="162"/>
      <c r="AT472" s="157" t="s">
        <v>154</v>
      </c>
      <c r="AU472" s="157" t="s">
        <v>85</v>
      </c>
      <c r="AV472" s="14" t="s">
        <v>85</v>
      </c>
      <c r="AW472" s="14" t="s">
        <v>37</v>
      </c>
      <c r="AX472" s="14" t="s">
        <v>83</v>
      </c>
      <c r="AY472" s="157" t="s">
        <v>144</v>
      </c>
    </row>
    <row r="473" spans="1:65" s="2" customFormat="1" ht="37.9" customHeight="1">
      <c r="A473" s="31"/>
      <c r="B473" s="136"/>
      <c r="C473" s="173" t="s">
        <v>597</v>
      </c>
      <c r="D473" s="173" t="s">
        <v>174</v>
      </c>
      <c r="E473" s="174" t="s">
        <v>598</v>
      </c>
      <c r="F473" s="175" t="s">
        <v>599</v>
      </c>
      <c r="G473" s="176" t="s">
        <v>183</v>
      </c>
      <c r="H473" s="177">
        <f>H475</f>
        <v>43.6125</v>
      </c>
      <c r="I473" s="281"/>
      <c r="J473" s="178">
        <f>ROUND(I473*H473,2)</f>
        <v>0</v>
      </c>
      <c r="K473" s="175" t="s">
        <v>151</v>
      </c>
      <c r="L473" s="179"/>
      <c r="M473" s="180" t="s">
        <v>3</v>
      </c>
      <c r="N473" s="181" t="s">
        <v>46</v>
      </c>
      <c r="O473" s="145">
        <v>0</v>
      </c>
      <c r="P473" s="145">
        <f>O473*H473</f>
        <v>0</v>
      </c>
      <c r="Q473" s="145">
        <v>0.025</v>
      </c>
      <c r="R473" s="145">
        <f>Q473*H473</f>
        <v>1.0903125</v>
      </c>
      <c r="S473" s="145">
        <v>0</v>
      </c>
      <c r="T473" s="146">
        <f>S473*H473</f>
        <v>0</v>
      </c>
      <c r="U473" s="31"/>
      <c r="V473" s="31"/>
      <c r="W473" s="31"/>
      <c r="X473" s="31"/>
      <c r="Y473" s="31"/>
      <c r="Z473" s="31"/>
      <c r="AA473" s="31"/>
      <c r="AB473" s="31"/>
      <c r="AC473" s="31"/>
      <c r="AD473" s="31"/>
      <c r="AE473" s="31"/>
      <c r="AR473" s="147" t="s">
        <v>248</v>
      </c>
      <c r="AT473" s="147" t="s">
        <v>174</v>
      </c>
      <c r="AU473" s="147" t="s">
        <v>85</v>
      </c>
      <c r="AY473" s="19" t="s">
        <v>144</v>
      </c>
      <c r="BE473" s="148">
        <f>IF(N473="základní",J473,0)</f>
        <v>0</v>
      </c>
      <c r="BF473" s="148">
        <f>IF(N473="snížená",J473,0)</f>
        <v>0</v>
      </c>
      <c r="BG473" s="148">
        <f>IF(N473="zákl. přenesená",J473,0)</f>
        <v>0</v>
      </c>
      <c r="BH473" s="148">
        <f>IF(N473="sníž. přenesená",J473,0)</f>
        <v>0</v>
      </c>
      <c r="BI473" s="148">
        <f>IF(N473="nulová",J473,0)</f>
        <v>0</v>
      </c>
      <c r="BJ473" s="19" t="s">
        <v>83</v>
      </c>
      <c r="BK473" s="148">
        <f>ROUND(I473*H473,2)</f>
        <v>0</v>
      </c>
      <c r="BL473" s="19" t="s">
        <v>218</v>
      </c>
      <c r="BM473" s="147" t="s">
        <v>600</v>
      </c>
    </row>
    <row r="474" spans="1:47" s="2" customFormat="1" ht="29.25">
      <c r="A474" s="31"/>
      <c r="B474" s="32"/>
      <c r="C474" s="31"/>
      <c r="D474" s="150" t="s">
        <v>270</v>
      </c>
      <c r="E474" s="31"/>
      <c r="F474" s="163" t="s">
        <v>601</v>
      </c>
      <c r="G474" s="31"/>
      <c r="H474" s="31"/>
      <c r="I474" s="279"/>
      <c r="J474" s="31"/>
      <c r="K474" s="31"/>
      <c r="L474" s="32"/>
      <c r="M474" s="164"/>
      <c r="N474" s="165"/>
      <c r="O474" s="52"/>
      <c r="P474" s="52"/>
      <c r="Q474" s="52"/>
      <c r="R474" s="52"/>
      <c r="S474" s="52"/>
      <c r="T474" s="53"/>
      <c r="U474" s="31"/>
      <c r="V474" s="31"/>
      <c r="W474" s="31"/>
      <c r="X474" s="31"/>
      <c r="Y474" s="31"/>
      <c r="Z474" s="31"/>
      <c r="AA474" s="31"/>
      <c r="AB474" s="31"/>
      <c r="AC474" s="31"/>
      <c r="AD474" s="31"/>
      <c r="AE474" s="31"/>
      <c r="AT474" s="19" t="s">
        <v>270</v>
      </c>
      <c r="AU474" s="19" t="s">
        <v>85</v>
      </c>
    </row>
    <row r="475" spans="2:51" s="14" customFormat="1" ht="12">
      <c r="B475" s="156"/>
      <c r="D475" s="150" t="s">
        <v>154</v>
      </c>
      <c r="F475" s="158" t="s">
        <v>1902</v>
      </c>
      <c r="H475" s="159">
        <f>H469*1.25</f>
        <v>43.6125</v>
      </c>
      <c r="I475" s="280"/>
      <c r="L475" s="156"/>
      <c r="M475" s="160"/>
      <c r="N475" s="161"/>
      <c r="O475" s="161"/>
      <c r="P475" s="161"/>
      <c r="Q475" s="161"/>
      <c r="R475" s="161"/>
      <c r="S475" s="161"/>
      <c r="T475" s="162"/>
      <c r="AT475" s="157" t="s">
        <v>154</v>
      </c>
      <c r="AU475" s="157" t="s">
        <v>85</v>
      </c>
      <c r="AV475" s="14" t="s">
        <v>85</v>
      </c>
      <c r="AW475" s="14" t="s">
        <v>4</v>
      </c>
      <c r="AX475" s="14" t="s">
        <v>83</v>
      </c>
      <c r="AY475" s="157" t="s">
        <v>144</v>
      </c>
    </row>
    <row r="476" spans="1:65" s="2" customFormat="1" ht="37.9" customHeight="1">
      <c r="A476" s="31"/>
      <c r="B476" s="136"/>
      <c r="C476" s="137" t="s">
        <v>602</v>
      </c>
      <c r="D476" s="137" t="s">
        <v>147</v>
      </c>
      <c r="E476" s="138" t="s">
        <v>603</v>
      </c>
      <c r="F476" s="139" t="s">
        <v>604</v>
      </c>
      <c r="G476" s="140" t="s">
        <v>183</v>
      </c>
      <c r="H476" s="141">
        <f>H483</f>
        <v>12.65</v>
      </c>
      <c r="I476" s="278"/>
      <c r="J476" s="142">
        <f>ROUND(I476*H476,2)</f>
        <v>0</v>
      </c>
      <c r="K476" s="139" t="s">
        <v>157</v>
      </c>
      <c r="L476" s="32"/>
      <c r="M476" s="143" t="s">
        <v>3</v>
      </c>
      <c r="N476" s="144" t="s">
        <v>46</v>
      </c>
      <c r="O476" s="145">
        <v>0.03</v>
      </c>
      <c r="P476" s="145">
        <f>O476*H476</f>
        <v>0.3795</v>
      </c>
      <c r="Q476" s="145">
        <v>0</v>
      </c>
      <c r="R476" s="145">
        <f>Q476*H476</f>
        <v>0</v>
      </c>
      <c r="S476" s="145">
        <v>0</v>
      </c>
      <c r="T476" s="146">
        <f>S476*H476</f>
        <v>0</v>
      </c>
      <c r="U476" s="31"/>
      <c r="V476" s="31"/>
      <c r="W476" s="31"/>
      <c r="X476" s="31"/>
      <c r="Y476" s="31"/>
      <c r="Z476" s="31"/>
      <c r="AA476" s="31"/>
      <c r="AB476" s="31"/>
      <c r="AC476" s="31"/>
      <c r="AD476" s="31"/>
      <c r="AE476" s="31"/>
      <c r="AR476" s="147" t="s">
        <v>218</v>
      </c>
      <c r="AT476" s="147" t="s">
        <v>147</v>
      </c>
      <c r="AU476" s="147" t="s">
        <v>85</v>
      </c>
      <c r="AY476" s="19" t="s">
        <v>144</v>
      </c>
      <c r="BE476" s="148">
        <f>IF(N476="základní",J476,0)</f>
        <v>0</v>
      </c>
      <c r="BF476" s="148">
        <f>IF(N476="snížená",J476,0)</f>
        <v>0</v>
      </c>
      <c r="BG476" s="148">
        <f>IF(N476="zákl. přenesená",J476,0)</f>
        <v>0</v>
      </c>
      <c r="BH476" s="148">
        <f>IF(N476="sníž. přenesená",J476,0)</f>
        <v>0</v>
      </c>
      <c r="BI476" s="148">
        <f>IF(N476="nulová",J476,0)</f>
        <v>0</v>
      </c>
      <c r="BJ476" s="19" t="s">
        <v>83</v>
      </c>
      <c r="BK476" s="148">
        <f>ROUND(I476*H476,2)</f>
        <v>0</v>
      </c>
      <c r="BL476" s="19" t="s">
        <v>218</v>
      </c>
      <c r="BM476" s="147" t="s">
        <v>605</v>
      </c>
    </row>
    <row r="477" spans="1:47" s="2" customFormat="1" ht="29.25">
      <c r="A477" s="31"/>
      <c r="B477" s="32"/>
      <c r="C477" s="31"/>
      <c r="D477" s="150" t="s">
        <v>158</v>
      </c>
      <c r="E477" s="31"/>
      <c r="F477" s="163" t="s">
        <v>596</v>
      </c>
      <c r="G477" s="31"/>
      <c r="H477" s="31"/>
      <c r="I477" s="279"/>
      <c r="J477" s="31"/>
      <c r="K477" s="31"/>
      <c r="L477" s="32"/>
      <c r="M477" s="164"/>
      <c r="N477" s="165"/>
      <c r="O477" s="52"/>
      <c r="P477" s="52"/>
      <c r="Q477" s="52"/>
      <c r="R477" s="52"/>
      <c r="S477" s="52"/>
      <c r="T477" s="53"/>
      <c r="U477" s="31"/>
      <c r="V477" s="31"/>
      <c r="W477" s="31"/>
      <c r="X477" s="31"/>
      <c r="Y477" s="31"/>
      <c r="Z477" s="31"/>
      <c r="AA477" s="31"/>
      <c r="AB477" s="31"/>
      <c r="AC477" s="31"/>
      <c r="AD477" s="31"/>
      <c r="AE477" s="31"/>
      <c r="AT477" s="19" t="s">
        <v>158</v>
      </c>
      <c r="AU477" s="19" t="s">
        <v>85</v>
      </c>
    </row>
    <row r="478" spans="2:51" s="13" customFormat="1" ht="12">
      <c r="B478" s="149"/>
      <c r="D478" s="150" t="s">
        <v>154</v>
      </c>
      <c r="E478" s="151" t="s">
        <v>3</v>
      </c>
      <c r="F478" s="152" t="s">
        <v>239</v>
      </c>
      <c r="H478" s="151" t="s">
        <v>3</v>
      </c>
      <c r="I478" s="282"/>
      <c r="L478" s="149"/>
      <c r="M478" s="153"/>
      <c r="N478" s="154"/>
      <c r="O478" s="154"/>
      <c r="P478" s="154"/>
      <c r="Q478" s="154"/>
      <c r="R478" s="154"/>
      <c r="S478" s="154"/>
      <c r="T478" s="155"/>
      <c r="AT478" s="151" t="s">
        <v>154</v>
      </c>
      <c r="AU478" s="151" t="s">
        <v>85</v>
      </c>
      <c r="AV478" s="13" t="s">
        <v>83</v>
      </c>
      <c r="AW478" s="13" t="s">
        <v>37</v>
      </c>
      <c r="AX478" s="13" t="s">
        <v>75</v>
      </c>
      <c r="AY478" s="151" t="s">
        <v>144</v>
      </c>
    </row>
    <row r="479" spans="2:51" s="13" customFormat="1" ht="12">
      <c r="B479" s="149"/>
      <c r="D479" s="150" t="s">
        <v>154</v>
      </c>
      <c r="E479" s="151" t="s">
        <v>3</v>
      </c>
      <c r="F479" s="152" t="s">
        <v>166</v>
      </c>
      <c r="H479" s="151" t="s">
        <v>3</v>
      </c>
      <c r="I479" s="282"/>
      <c r="L479" s="149"/>
      <c r="M479" s="153"/>
      <c r="N479" s="154"/>
      <c r="O479" s="154"/>
      <c r="P479" s="154"/>
      <c r="Q479" s="154"/>
      <c r="R479" s="154"/>
      <c r="S479" s="154"/>
      <c r="T479" s="155"/>
      <c r="AT479" s="151" t="s">
        <v>154</v>
      </c>
      <c r="AU479" s="151" t="s">
        <v>85</v>
      </c>
      <c r="AV479" s="13" t="s">
        <v>83</v>
      </c>
      <c r="AW479" s="13" t="s">
        <v>37</v>
      </c>
      <c r="AX479" s="13" t="s">
        <v>75</v>
      </c>
      <c r="AY479" s="151" t="s">
        <v>144</v>
      </c>
    </row>
    <row r="480" spans="2:51" s="14" customFormat="1" ht="12">
      <c r="B480" s="156"/>
      <c r="D480" s="150" t="s">
        <v>154</v>
      </c>
      <c r="E480" s="157" t="s">
        <v>3</v>
      </c>
      <c r="F480" s="158" t="s">
        <v>1903</v>
      </c>
      <c r="H480" s="159">
        <f>1.36+1.22+1.32+3.14</f>
        <v>7.040000000000001</v>
      </c>
      <c r="I480" s="280"/>
      <c r="L480" s="156"/>
      <c r="M480" s="160"/>
      <c r="N480" s="161"/>
      <c r="O480" s="161"/>
      <c r="P480" s="161"/>
      <c r="Q480" s="161"/>
      <c r="R480" s="161"/>
      <c r="S480" s="161"/>
      <c r="T480" s="162"/>
      <c r="AT480" s="157" t="s">
        <v>154</v>
      </c>
      <c r="AU480" s="157" t="s">
        <v>85</v>
      </c>
      <c r="AV480" s="14" t="s">
        <v>85</v>
      </c>
      <c r="AW480" s="14" t="s">
        <v>37</v>
      </c>
      <c r="AX480" s="14" t="s">
        <v>75</v>
      </c>
      <c r="AY480" s="157" t="s">
        <v>144</v>
      </c>
    </row>
    <row r="481" spans="2:51" s="13" customFormat="1" ht="12">
      <c r="B481" s="149"/>
      <c r="D481" s="150" t="s">
        <v>154</v>
      </c>
      <c r="E481" s="151" t="s">
        <v>3</v>
      </c>
      <c r="F481" s="152" t="s">
        <v>167</v>
      </c>
      <c r="H481" s="151" t="s">
        <v>3</v>
      </c>
      <c r="I481" s="282"/>
      <c r="L481" s="149"/>
      <c r="M481" s="153"/>
      <c r="N481" s="154"/>
      <c r="O481" s="154"/>
      <c r="P481" s="154"/>
      <c r="Q481" s="154"/>
      <c r="R481" s="154"/>
      <c r="S481" s="154"/>
      <c r="T481" s="155"/>
      <c r="AT481" s="151" t="s">
        <v>154</v>
      </c>
      <c r="AU481" s="151" t="s">
        <v>85</v>
      </c>
      <c r="AV481" s="13" t="s">
        <v>83</v>
      </c>
      <c r="AW481" s="13" t="s">
        <v>37</v>
      </c>
      <c r="AX481" s="13" t="s">
        <v>75</v>
      </c>
      <c r="AY481" s="151" t="s">
        <v>144</v>
      </c>
    </row>
    <row r="482" spans="2:51" s="14" customFormat="1" ht="12">
      <c r="B482" s="156"/>
      <c r="D482" s="150" t="s">
        <v>154</v>
      </c>
      <c r="E482" s="157" t="s">
        <v>3</v>
      </c>
      <c r="F482" s="158" t="s">
        <v>1893</v>
      </c>
      <c r="H482" s="159">
        <f>2.84+2.77</f>
        <v>5.609999999999999</v>
      </c>
      <c r="I482" s="280"/>
      <c r="L482" s="156"/>
      <c r="M482" s="160"/>
      <c r="N482" s="161"/>
      <c r="O482" s="161"/>
      <c r="P482" s="161"/>
      <c r="Q482" s="161"/>
      <c r="R482" s="161"/>
      <c r="S482" s="161"/>
      <c r="T482" s="162"/>
      <c r="AT482" s="157" t="s">
        <v>154</v>
      </c>
      <c r="AU482" s="157" t="s">
        <v>85</v>
      </c>
      <c r="AV482" s="14" t="s">
        <v>85</v>
      </c>
      <c r="AW482" s="14" t="s">
        <v>37</v>
      </c>
      <c r="AX482" s="14" t="s">
        <v>75</v>
      </c>
      <c r="AY482" s="157" t="s">
        <v>144</v>
      </c>
    </row>
    <row r="483" spans="2:51" s="15" customFormat="1" ht="12">
      <c r="B483" s="166"/>
      <c r="D483" s="150" t="s">
        <v>154</v>
      </c>
      <c r="E483" s="167" t="s">
        <v>3</v>
      </c>
      <c r="F483" s="168" t="s">
        <v>161</v>
      </c>
      <c r="H483" s="169">
        <f>H480+H482</f>
        <v>12.65</v>
      </c>
      <c r="I483" s="284"/>
      <c r="L483" s="166"/>
      <c r="M483" s="170"/>
      <c r="N483" s="171"/>
      <c r="O483" s="171"/>
      <c r="P483" s="171"/>
      <c r="Q483" s="171"/>
      <c r="R483" s="171"/>
      <c r="S483" s="171"/>
      <c r="T483" s="172"/>
      <c r="AT483" s="167" t="s">
        <v>154</v>
      </c>
      <c r="AU483" s="167" t="s">
        <v>85</v>
      </c>
      <c r="AV483" s="15" t="s">
        <v>152</v>
      </c>
      <c r="AW483" s="15" t="s">
        <v>37</v>
      </c>
      <c r="AX483" s="15" t="s">
        <v>83</v>
      </c>
      <c r="AY483" s="167" t="s">
        <v>144</v>
      </c>
    </row>
    <row r="484" spans="1:65" s="2" customFormat="1" ht="37.9" customHeight="1">
      <c r="A484" s="31"/>
      <c r="B484" s="136"/>
      <c r="C484" s="137" t="s">
        <v>606</v>
      </c>
      <c r="D484" s="137" t="s">
        <v>147</v>
      </c>
      <c r="E484" s="138" t="s">
        <v>607</v>
      </c>
      <c r="F484" s="139" t="s">
        <v>608</v>
      </c>
      <c r="G484" s="140" t="s">
        <v>183</v>
      </c>
      <c r="H484" s="141">
        <f>H455</f>
        <v>34.89</v>
      </c>
      <c r="I484" s="278"/>
      <c r="J484" s="142">
        <f>ROUND(I484*H484,2)</f>
        <v>0</v>
      </c>
      <c r="K484" s="139" t="s">
        <v>157</v>
      </c>
      <c r="L484" s="32"/>
      <c r="M484" s="143" t="s">
        <v>3</v>
      </c>
      <c r="N484" s="144" t="s">
        <v>46</v>
      </c>
      <c r="O484" s="145">
        <v>0.1</v>
      </c>
      <c r="P484" s="145">
        <f>O484*H484</f>
        <v>3.4890000000000003</v>
      </c>
      <c r="Q484" s="145">
        <v>0</v>
      </c>
      <c r="R484" s="145">
        <f>Q484*H484</f>
        <v>0</v>
      </c>
      <c r="S484" s="145">
        <v>0</v>
      </c>
      <c r="T484" s="146">
        <f>S484*H484</f>
        <v>0</v>
      </c>
      <c r="U484" s="31"/>
      <c r="V484" s="31"/>
      <c r="W484" s="31"/>
      <c r="X484" s="31"/>
      <c r="Y484" s="31"/>
      <c r="Z484" s="31"/>
      <c r="AA484" s="31"/>
      <c r="AB484" s="31"/>
      <c r="AC484" s="31"/>
      <c r="AD484" s="31"/>
      <c r="AE484" s="31"/>
      <c r="AR484" s="147" t="s">
        <v>218</v>
      </c>
      <c r="AT484" s="147" t="s">
        <v>147</v>
      </c>
      <c r="AU484" s="147" t="s">
        <v>85</v>
      </c>
      <c r="AY484" s="19" t="s">
        <v>144</v>
      </c>
      <c r="BE484" s="148">
        <f>IF(N484="základní",J484,0)</f>
        <v>0</v>
      </c>
      <c r="BF484" s="148">
        <f>IF(N484="snížená",J484,0)</f>
        <v>0</v>
      </c>
      <c r="BG484" s="148">
        <f>IF(N484="zákl. přenesená",J484,0)</f>
        <v>0</v>
      </c>
      <c r="BH484" s="148">
        <f>IF(N484="sníž. přenesená",J484,0)</f>
        <v>0</v>
      </c>
      <c r="BI484" s="148">
        <f>IF(N484="nulová",J484,0)</f>
        <v>0</v>
      </c>
      <c r="BJ484" s="19" t="s">
        <v>83</v>
      </c>
      <c r="BK484" s="148">
        <f>ROUND(I484*H484,2)</f>
        <v>0</v>
      </c>
      <c r="BL484" s="19" t="s">
        <v>218</v>
      </c>
      <c r="BM484" s="147" t="s">
        <v>609</v>
      </c>
    </row>
    <row r="485" spans="1:47" s="2" customFormat="1" ht="29.25">
      <c r="A485" s="31"/>
      <c r="B485" s="32"/>
      <c r="C485" s="31"/>
      <c r="D485" s="150" t="s">
        <v>158</v>
      </c>
      <c r="E485" s="31"/>
      <c r="F485" s="163" t="s">
        <v>596</v>
      </c>
      <c r="G485" s="31"/>
      <c r="H485" s="31"/>
      <c r="I485" s="279"/>
      <c r="J485" s="31"/>
      <c r="K485" s="31"/>
      <c r="L485" s="32"/>
      <c r="M485" s="164"/>
      <c r="N485" s="165"/>
      <c r="O485" s="52"/>
      <c r="P485" s="52"/>
      <c r="Q485" s="52"/>
      <c r="R485" s="52"/>
      <c r="S485" s="52"/>
      <c r="T485" s="53"/>
      <c r="U485" s="31"/>
      <c r="V485" s="31"/>
      <c r="W485" s="31"/>
      <c r="X485" s="31"/>
      <c r="Y485" s="31"/>
      <c r="Z485" s="31"/>
      <c r="AA485" s="31"/>
      <c r="AB485" s="31"/>
      <c r="AC485" s="31"/>
      <c r="AD485" s="31"/>
      <c r="AE485" s="31"/>
      <c r="AT485" s="19" t="s">
        <v>158</v>
      </c>
      <c r="AU485" s="19" t="s">
        <v>85</v>
      </c>
    </row>
    <row r="486" spans="2:51" s="13" customFormat="1" ht="12">
      <c r="B486" s="149"/>
      <c r="D486" s="150" t="s">
        <v>154</v>
      </c>
      <c r="E486" s="151" t="s">
        <v>3</v>
      </c>
      <c r="F486" s="152" t="s">
        <v>216</v>
      </c>
      <c r="H486" s="151" t="s">
        <v>3</v>
      </c>
      <c r="I486" s="282"/>
      <c r="L486" s="149"/>
      <c r="M486" s="153"/>
      <c r="N486" s="154"/>
      <c r="O486" s="154"/>
      <c r="P486" s="154"/>
      <c r="Q486" s="154"/>
      <c r="R486" s="154"/>
      <c r="S486" s="154"/>
      <c r="T486" s="155"/>
      <c r="AT486" s="151" t="s">
        <v>154</v>
      </c>
      <c r="AU486" s="151" t="s">
        <v>85</v>
      </c>
      <c r="AV486" s="13" t="s">
        <v>83</v>
      </c>
      <c r="AW486" s="13" t="s">
        <v>37</v>
      </c>
      <c r="AX486" s="13" t="s">
        <v>75</v>
      </c>
      <c r="AY486" s="151" t="s">
        <v>144</v>
      </c>
    </row>
    <row r="487" spans="1:65" s="2" customFormat="1" ht="24.2" customHeight="1">
      <c r="A487" s="31"/>
      <c r="B487" s="136"/>
      <c r="C487" s="137" t="s">
        <v>610</v>
      </c>
      <c r="D487" s="137" t="s">
        <v>147</v>
      </c>
      <c r="E487" s="138" t="s">
        <v>611</v>
      </c>
      <c r="F487" s="139" t="s">
        <v>612</v>
      </c>
      <c r="G487" s="140" t="s">
        <v>183</v>
      </c>
      <c r="H487" s="141">
        <f>H490</f>
        <v>22.79</v>
      </c>
      <c r="I487" s="278"/>
      <c r="J487" s="142">
        <f>ROUND(I487*H487,2)</f>
        <v>0</v>
      </c>
      <c r="K487" s="139" t="s">
        <v>157</v>
      </c>
      <c r="L487" s="32"/>
      <c r="M487" s="143" t="s">
        <v>3</v>
      </c>
      <c r="N487" s="144" t="s">
        <v>46</v>
      </c>
      <c r="O487" s="145">
        <v>0.278</v>
      </c>
      <c r="P487" s="145">
        <f>O487*H487</f>
        <v>6.3356200000000005</v>
      </c>
      <c r="Q487" s="145">
        <v>0.0015</v>
      </c>
      <c r="R487" s="145">
        <f>Q487*H487</f>
        <v>0.034185</v>
      </c>
      <c r="S487" s="145">
        <v>0</v>
      </c>
      <c r="T487" s="146">
        <f>S487*H487</f>
        <v>0</v>
      </c>
      <c r="U487" s="31"/>
      <c r="V487" s="31"/>
      <c r="W487" s="31"/>
      <c r="X487" s="31"/>
      <c r="Y487" s="31"/>
      <c r="Z487" s="31"/>
      <c r="AA487" s="31"/>
      <c r="AB487" s="31"/>
      <c r="AC487" s="31"/>
      <c r="AD487" s="31"/>
      <c r="AE487" s="31"/>
      <c r="AR487" s="147" t="s">
        <v>218</v>
      </c>
      <c r="AT487" s="147" t="s">
        <v>147</v>
      </c>
      <c r="AU487" s="147" t="s">
        <v>85</v>
      </c>
      <c r="AY487" s="19" t="s">
        <v>144</v>
      </c>
      <c r="BE487" s="148">
        <f>IF(N487="základní",J487,0)</f>
        <v>0</v>
      </c>
      <c r="BF487" s="148">
        <f>IF(N487="snížená",J487,0)</f>
        <v>0</v>
      </c>
      <c r="BG487" s="148">
        <f>IF(N487="zákl. přenesená",J487,0)</f>
        <v>0</v>
      </c>
      <c r="BH487" s="148">
        <f>IF(N487="sníž. přenesená",J487,0)</f>
        <v>0</v>
      </c>
      <c r="BI487" s="148">
        <f>IF(N487="nulová",J487,0)</f>
        <v>0</v>
      </c>
      <c r="BJ487" s="19" t="s">
        <v>83</v>
      </c>
      <c r="BK487" s="148">
        <f>ROUND(I487*H487,2)</f>
        <v>0</v>
      </c>
      <c r="BL487" s="19" t="s">
        <v>218</v>
      </c>
      <c r="BM487" s="147" t="s">
        <v>613</v>
      </c>
    </row>
    <row r="488" spans="1:47" s="2" customFormat="1" ht="97.5">
      <c r="A488" s="31"/>
      <c r="B488" s="32"/>
      <c r="C488" s="31"/>
      <c r="D488" s="150" t="s">
        <v>158</v>
      </c>
      <c r="E488" s="31"/>
      <c r="F488" s="163" t="s">
        <v>614</v>
      </c>
      <c r="G488" s="31"/>
      <c r="H488" s="31"/>
      <c r="I488" s="279"/>
      <c r="J488" s="31"/>
      <c r="K488" s="31"/>
      <c r="L488" s="32"/>
      <c r="M488" s="164"/>
      <c r="N488" s="165"/>
      <c r="O488" s="52"/>
      <c r="P488" s="52"/>
      <c r="Q488" s="52"/>
      <c r="R488" s="52"/>
      <c r="S488" s="52"/>
      <c r="T488" s="53"/>
      <c r="U488" s="31"/>
      <c r="V488" s="31"/>
      <c r="W488" s="31"/>
      <c r="X488" s="31"/>
      <c r="Y488" s="31"/>
      <c r="Z488" s="31"/>
      <c r="AA488" s="31"/>
      <c r="AB488" s="31"/>
      <c r="AC488" s="31"/>
      <c r="AD488" s="31"/>
      <c r="AE488" s="31"/>
      <c r="AT488" s="19" t="s">
        <v>158</v>
      </c>
      <c r="AU488" s="19" t="s">
        <v>85</v>
      </c>
    </row>
    <row r="489" spans="2:51" s="13" customFormat="1" ht="12">
      <c r="B489" s="149"/>
      <c r="D489" s="150" t="s">
        <v>154</v>
      </c>
      <c r="E489" s="151" t="s">
        <v>3</v>
      </c>
      <c r="F489" s="152" t="s">
        <v>239</v>
      </c>
      <c r="H489" s="151" t="s">
        <v>3</v>
      </c>
      <c r="I489" s="282"/>
      <c r="L489" s="149"/>
      <c r="M489" s="153"/>
      <c r="N489" s="154"/>
      <c r="O489" s="154"/>
      <c r="P489" s="154"/>
      <c r="Q489" s="154"/>
      <c r="R489" s="154"/>
      <c r="S489" s="154"/>
      <c r="T489" s="155"/>
      <c r="AT489" s="151" t="s">
        <v>154</v>
      </c>
      <c r="AU489" s="151" t="s">
        <v>85</v>
      </c>
      <c r="AV489" s="13" t="s">
        <v>83</v>
      </c>
      <c r="AW489" s="13" t="s">
        <v>37</v>
      </c>
      <c r="AX489" s="13" t="s">
        <v>75</v>
      </c>
      <c r="AY489" s="151" t="s">
        <v>144</v>
      </c>
    </row>
    <row r="490" spans="2:51" s="14" customFormat="1" ht="12">
      <c r="B490" s="156"/>
      <c r="D490" s="150" t="s">
        <v>154</v>
      </c>
      <c r="E490" s="157" t="s">
        <v>3</v>
      </c>
      <c r="F490" s="158" t="s">
        <v>1904</v>
      </c>
      <c r="H490" s="159">
        <f>34.89-5.17-6.93</f>
        <v>22.79</v>
      </c>
      <c r="I490" s="280"/>
      <c r="L490" s="156"/>
      <c r="M490" s="160"/>
      <c r="N490" s="161"/>
      <c r="O490" s="161"/>
      <c r="P490" s="161"/>
      <c r="Q490" s="161"/>
      <c r="R490" s="161"/>
      <c r="S490" s="161"/>
      <c r="T490" s="162"/>
      <c r="AT490" s="157" t="s">
        <v>154</v>
      </c>
      <c r="AU490" s="157" t="s">
        <v>85</v>
      </c>
      <c r="AV490" s="14" t="s">
        <v>85</v>
      </c>
      <c r="AW490" s="14" t="s">
        <v>37</v>
      </c>
      <c r="AX490" s="14" t="s">
        <v>75</v>
      </c>
      <c r="AY490" s="157" t="s">
        <v>144</v>
      </c>
    </row>
    <row r="491" spans="1:65" s="2" customFormat="1" ht="24.2" customHeight="1">
      <c r="A491" s="31"/>
      <c r="B491" s="136"/>
      <c r="C491" s="137" t="s">
        <v>615</v>
      </c>
      <c r="D491" s="137" t="s">
        <v>147</v>
      </c>
      <c r="E491" s="138" t="s">
        <v>616</v>
      </c>
      <c r="F491" s="139" t="s">
        <v>617</v>
      </c>
      <c r="G491" s="140" t="s">
        <v>156</v>
      </c>
      <c r="H491" s="141">
        <f>H498</f>
        <v>38</v>
      </c>
      <c r="I491" s="278"/>
      <c r="J491" s="142">
        <f>ROUND(I491*H491,2)</f>
        <v>0</v>
      </c>
      <c r="K491" s="139" t="s">
        <v>157</v>
      </c>
      <c r="L491" s="32"/>
      <c r="M491" s="143" t="s">
        <v>3</v>
      </c>
      <c r="N491" s="144" t="s">
        <v>46</v>
      </c>
      <c r="O491" s="145">
        <v>0.035</v>
      </c>
      <c r="P491" s="145">
        <f>O491*H491</f>
        <v>1.33</v>
      </c>
      <c r="Q491" s="145">
        <v>0.00021</v>
      </c>
      <c r="R491" s="145">
        <f>Q491*H491</f>
        <v>0.007980000000000001</v>
      </c>
      <c r="S491" s="145">
        <v>0</v>
      </c>
      <c r="T491" s="146">
        <f>S491*H491</f>
        <v>0</v>
      </c>
      <c r="U491" s="31"/>
      <c r="V491" s="31"/>
      <c r="W491" s="31"/>
      <c r="X491" s="31"/>
      <c r="Y491" s="31"/>
      <c r="Z491" s="31"/>
      <c r="AA491" s="31"/>
      <c r="AB491" s="31"/>
      <c r="AC491" s="31"/>
      <c r="AD491" s="31"/>
      <c r="AE491" s="31"/>
      <c r="AR491" s="147" t="s">
        <v>218</v>
      </c>
      <c r="AT491" s="147" t="s">
        <v>147</v>
      </c>
      <c r="AU491" s="147" t="s">
        <v>85</v>
      </c>
      <c r="AY491" s="19" t="s">
        <v>144</v>
      </c>
      <c r="BE491" s="148">
        <f>IF(N491="základní",J491,0)</f>
        <v>0</v>
      </c>
      <c r="BF491" s="148">
        <f>IF(N491="snížená",J491,0)</f>
        <v>0</v>
      </c>
      <c r="BG491" s="148">
        <f>IF(N491="zákl. přenesená",J491,0)</f>
        <v>0</v>
      </c>
      <c r="BH491" s="148">
        <f>IF(N491="sníž. přenesená",J491,0)</f>
        <v>0</v>
      </c>
      <c r="BI491" s="148">
        <f>IF(N491="nulová",J491,0)</f>
        <v>0</v>
      </c>
      <c r="BJ491" s="19" t="s">
        <v>83</v>
      </c>
      <c r="BK491" s="148">
        <f>ROUND(I491*H491,2)</f>
        <v>0</v>
      </c>
      <c r="BL491" s="19" t="s">
        <v>218</v>
      </c>
      <c r="BM491" s="147" t="s">
        <v>618</v>
      </c>
    </row>
    <row r="492" spans="1:47" s="2" customFormat="1" ht="97.5">
      <c r="A492" s="31"/>
      <c r="B492" s="32"/>
      <c r="C492" s="31"/>
      <c r="D492" s="150" t="s">
        <v>158</v>
      </c>
      <c r="E492" s="31"/>
      <c r="F492" s="163" t="s">
        <v>614</v>
      </c>
      <c r="G492" s="31"/>
      <c r="H492" s="31"/>
      <c r="I492" s="279"/>
      <c r="J492" s="31"/>
      <c r="K492" s="31"/>
      <c r="L492" s="32"/>
      <c r="M492" s="164"/>
      <c r="N492" s="165"/>
      <c r="O492" s="52"/>
      <c r="P492" s="52"/>
      <c r="Q492" s="52"/>
      <c r="R492" s="52"/>
      <c r="S492" s="52"/>
      <c r="T492" s="53"/>
      <c r="U492" s="31"/>
      <c r="V492" s="31"/>
      <c r="W492" s="31"/>
      <c r="X492" s="31"/>
      <c r="Y492" s="31"/>
      <c r="Z492" s="31"/>
      <c r="AA492" s="31"/>
      <c r="AB492" s="31"/>
      <c r="AC492" s="31"/>
      <c r="AD492" s="31"/>
      <c r="AE492" s="31"/>
      <c r="AT492" s="19" t="s">
        <v>158</v>
      </c>
      <c r="AU492" s="19" t="s">
        <v>85</v>
      </c>
    </row>
    <row r="493" spans="2:51" s="13" customFormat="1" ht="12">
      <c r="B493" s="149"/>
      <c r="D493" s="150" t="s">
        <v>154</v>
      </c>
      <c r="E493" s="151" t="s">
        <v>3</v>
      </c>
      <c r="F493" s="152" t="s">
        <v>239</v>
      </c>
      <c r="H493" s="151" t="s">
        <v>3</v>
      </c>
      <c r="I493" s="282"/>
      <c r="L493" s="149"/>
      <c r="M493" s="153"/>
      <c r="N493" s="154"/>
      <c r="O493" s="154"/>
      <c r="P493" s="154"/>
      <c r="Q493" s="154"/>
      <c r="R493" s="154"/>
      <c r="S493" s="154"/>
      <c r="T493" s="155"/>
      <c r="AT493" s="151" t="s">
        <v>154</v>
      </c>
      <c r="AU493" s="151" t="s">
        <v>85</v>
      </c>
      <c r="AV493" s="13" t="s">
        <v>83</v>
      </c>
      <c r="AW493" s="13" t="s">
        <v>37</v>
      </c>
      <c r="AX493" s="13" t="s">
        <v>75</v>
      </c>
      <c r="AY493" s="151" t="s">
        <v>144</v>
      </c>
    </row>
    <row r="494" spans="2:51" s="13" customFormat="1" ht="12">
      <c r="B494" s="149"/>
      <c r="D494" s="150" t="s">
        <v>154</v>
      </c>
      <c r="E494" s="151" t="s">
        <v>3</v>
      </c>
      <c r="F494" s="152" t="s">
        <v>166</v>
      </c>
      <c r="H494" s="151" t="s">
        <v>3</v>
      </c>
      <c r="I494" s="282"/>
      <c r="L494" s="149"/>
      <c r="M494" s="153"/>
      <c r="N494" s="154"/>
      <c r="O494" s="154"/>
      <c r="P494" s="154"/>
      <c r="Q494" s="154"/>
      <c r="R494" s="154"/>
      <c r="S494" s="154"/>
      <c r="T494" s="155"/>
      <c r="AT494" s="151" t="s">
        <v>154</v>
      </c>
      <c r="AU494" s="151" t="s">
        <v>85</v>
      </c>
      <c r="AV494" s="13" t="s">
        <v>83</v>
      </c>
      <c r="AW494" s="13" t="s">
        <v>37</v>
      </c>
      <c r="AX494" s="13" t="s">
        <v>75</v>
      </c>
      <c r="AY494" s="151" t="s">
        <v>144</v>
      </c>
    </row>
    <row r="495" spans="2:51" s="14" customFormat="1" ht="12">
      <c r="B495" s="156"/>
      <c r="D495" s="150" t="s">
        <v>154</v>
      </c>
      <c r="E495" s="157" t="s">
        <v>3</v>
      </c>
      <c r="F495" s="158" t="s">
        <v>1905</v>
      </c>
      <c r="H495" s="159">
        <f>4+4+4+4+4+2+4+4</f>
        <v>30</v>
      </c>
      <c r="I495" s="280"/>
      <c r="L495" s="156"/>
      <c r="M495" s="160"/>
      <c r="N495" s="161"/>
      <c r="O495" s="161"/>
      <c r="P495" s="161"/>
      <c r="Q495" s="161"/>
      <c r="R495" s="161"/>
      <c r="S495" s="161"/>
      <c r="T495" s="162"/>
      <c r="AT495" s="157" t="s">
        <v>154</v>
      </c>
      <c r="AU495" s="157" t="s">
        <v>85</v>
      </c>
      <c r="AV495" s="14" t="s">
        <v>85</v>
      </c>
      <c r="AW495" s="14" t="s">
        <v>37</v>
      </c>
      <c r="AX495" s="14" t="s">
        <v>75</v>
      </c>
      <c r="AY495" s="157" t="s">
        <v>144</v>
      </c>
    </row>
    <row r="496" spans="2:51" s="13" customFormat="1" ht="12">
      <c r="B496" s="149"/>
      <c r="D496" s="150" t="s">
        <v>154</v>
      </c>
      <c r="E496" s="151" t="s">
        <v>3</v>
      </c>
      <c r="F496" s="152" t="s">
        <v>167</v>
      </c>
      <c r="H496" s="151" t="s">
        <v>3</v>
      </c>
      <c r="I496" s="282"/>
      <c r="L496" s="149"/>
      <c r="M496" s="153"/>
      <c r="N496" s="154"/>
      <c r="O496" s="154"/>
      <c r="P496" s="154"/>
      <c r="Q496" s="154"/>
      <c r="R496" s="154"/>
      <c r="S496" s="154"/>
      <c r="T496" s="155"/>
      <c r="AT496" s="151" t="s">
        <v>154</v>
      </c>
      <c r="AU496" s="151" t="s">
        <v>85</v>
      </c>
      <c r="AV496" s="13" t="s">
        <v>83</v>
      </c>
      <c r="AW496" s="13" t="s">
        <v>37</v>
      </c>
      <c r="AX496" s="13" t="s">
        <v>75</v>
      </c>
      <c r="AY496" s="151" t="s">
        <v>144</v>
      </c>
    </row>
    <row r="497" spans="2:51" s="14" customFormat="1" ht="12">
      <c r="B497" s="156"/>
      <c r="D497" s="150" t="s">
        <v>154</v>
      </c>
      <c r="E497" s="157" t="s">
        <v>3</v>
      </c>
      <c r="F497" s="158" t="s">
        <v>1906</v>
      </c>
      <c r="H497" s="159">
        <f>4+4</f>
        <v>8</v>
      </c>
      <c r="I497" s="280"/>
      <c r="L497" s="156"/>
      <c r="M497" s="160"/>
      <c r="N497" s="161"/>
      <c r="O497" s="161"/>
      <c r="P497" s="161"/>
      <c r="Q497" s="161"/>
      <c r="R497" s="161"/>
      <c r="S497" s="161"/>
      <c r="T497" s="162"/>
      <c r="AT497" s="157" t="s">
        <v>154</v>
      </c>
      <c r="AU497" s="157" t="s">
        <v>85</v>
      </c>
      <c r="AV497" s="14" t="s">
        <v>85</v>
      </c>
      <c r="AW497" s="14" t="s">
        <v>37</v>
      </c>
      <c r="AX497" s="14" t="s">
        <v>75</v>
      </c>
      <c r="AY497" s="157" t="s">
        <v>144</v>
      </c>
    </row>
    <row r="498" spans="2:51" s="15" customFormat="1" ht="12">
      <c r="B498" s="166"/>
      <c r="D498" s="150" t="s">
        <v>154</v>
      </c>
      <c r="E498" s="167" t="s">
        <v>3</v>
      </c>
      <c r="F498" s="168" t="s">
        <v>161</v>
      </c>
      <c r="H498" s="169">
        <f>H495+H497</f>
        <v>38</v>
      </c>
      <c r="I498" s="284"/>
      <c r="L498" s="166"/>
      <c r="M498" s="170"/>
      <c r="N498" s="171"/>
      <c r="O498" s="171"/>
      <c r="P498" s="171"/>
      <c r="Q498" s="171"/>
      <c r="R498" s="171"/>
      <c r="S498" s="171"/>
      <c r="T498" s="172"/>
      <c r="AT498" s="167" t="s">
        <v>154</v>
      </c>
      <c r="AU498" s="167" t="s">
        <v>85</v>
      </c>
      <c r="AV498" s="15" t="s">
        <v>152</v>
      </c>
      <c r="AW498" s="15" t="s">
        <v>37</v>
      </c>
      <c r="AX498" s="15" t="s">
        <v>83</v>
      </c>
      <c r="AY498" s="167" t="s">
        <v>144</v>
      </c>
    </row>
    <row r="499" spans="1:65" s="2" customFormat="1" ht="24.2" customHeight="1">
      <c r="A499" s="31"/>
      <c r="B499" s="136"/>
      <c r="C499" s="137" t="s">
        <v>619</v>
      </c>
      <c r="D499" s="137" t="s">
        <v>147</v>
      </c>
      <c r="E499" s="138" t="s">
        <v>620</v>
      </c>
      <c r="F499" s="139" t="s">
        <v>621</v>
      </c>
      <c r="G499" s="140" t="s">
        <v>201</v>
      </c>
      <c r="H499" s="141">
        <f>H506</f>
        <v>53.449999999999996</v>
      </c>
      <c r="I499" s="278"/>
      <c r="J499" s="142">
        <f>ROUND(I499*H499,2)</f>
        <v>0</v>
      </c>
      <c r="K499" s="139" t="s">
        <v>157</v>
      </c>
      <c r="L499" s="32"/>
      <c r="M499" s="143" t="s">
        <v>3</v>
      </c>
      <c r="N499" s="144" t="s">
        <v>46</v>
      </c>
      <c r="O499" s="145">
        <v>0.06</v>
      </c>
      <c r="P499" s="145">
        <f>O499*H499</f>
        <v>3.2069999999999994</v>
      </c>
      <c r="Q499" s="145">
        <v>0.00032</v>
      </c>
      <c r="R499" s="145">
        <f>Q499*H499</f>
        <v>0.017104</v>
      </c>
      <c r="S499" s="145">
        <v>0</v>
      </c>
      <c r="T499" s="146">
        <f>S499*H499</f>
        <v>0</v>
      </c>
      <c r="U499" s="31"/>
      <c r="V499" s="31"/>
      <c r="W499" s="31"/>
      <c r="X499" s="31"/>
      <c r="Y499" s="31"/>
      <c r="Z499" s="31"/>
      <c r="AA499" s="31"/>
      <c r="AB499" s="31"/>
      <c r="AC499" s="31"/>
      <c r="AD499" s="31"/>
      <c r="AE499" s="31"/>
      <c r="AR499" s="147" t="s">
        <v>218</v>
      </c>
      <c r="AT499" s="147" t="s">
        <v>147</v>
      </c>
      <c r="AU499" s="147" t="s">
        <v>85</v>
      </c>
      <c r="AY499" s="19" t="s">
        <v>144</v>
      </c>
      <c r="BE499" s="148">
        <f>IF(N499="základní",J499,0)</f>
        <v>0</v>
      </c>
      <c r="BF499" s="148">
        <f>IF(N499="snížená",J499,0)</f>
        <v>0</v>
      </c>
      <c r="BG499" s="148">
        <f>IF(N499="zákl. přenesená",J499,0)</f>
        <v>0</v>
      </c>
      <c r="BH499" s="148">
        <f>IF(N499="sníž. přenesená",J499,0)</f>
        <v>0</v>
      </c>
      <c r="BI499" s="148">
        <f>IF(N499="nulová",J499,0)</f>
        <v>0</v>
      </c>
      <c r="BJ499" s="19" t="s">
        <v>83</v>
      </c>
      <c r="BK499" s="148">
        <f>ROUND(I499*H499,2)</f>
        <v>0</v>
      </c>
      <c r="BL499" s="19" t="s">
        <v>218</v>
      </c>
      <c r="BM499" s="147" t="s">
        <v>622</v>
      </c>
    </row>
    <row r="500" spans="1:47" s="2" customFormat="1" ht="97.5">
      <c r="A500" s="31"/>
      <c r="B500" s="32"/>
      <c r="C500" s="31"/>
      <c r="D500" s="150" t="s">
        <v>158</v>
      </c>
      <c r="E500" s="31"/>
      <c r="F500" s="163" t="s">
        <v>614</v>
      </c>
      <c r="G500" s="31"/>
      <c r="H500" s="31"/>
      <c r="I500" s="279"/>
      <c r="J500" s="31"/>
      <c r="K500" s="31"/>
      <c r="L500" s="32"/>
      <c r="M500" s="164"/>
      <c r="N500" s="165"/>
      <c r="O500" s="52"/>
      <c r="P500" s="52"/>
      <c r="Q500" s="52"/>
      <c r="R500" s="52"/>
      <c r="S500" s="52"/>
      <c r="T500" s="53"/>
      <c r="U500" s="31"/>
      <c r="V500" s="31"/>
      <c r="W500" s="31"/>
      <c r="X500" s="31"/>
      <c r="Y500" s="31"/>
      <c r="Z500" s="31"/>
      <c r="AA500" s="31"/>
      <c r="AB500" s="31"/>
      <c r="AC500" s="31"/>
      <c r="AD500" s="31"/>
      <c r="AE500" s="31"/>
      <c r="AT500" s="19" t="s">
        <v>158</v>
      </c>
      <c r="AU500" s="19" t="s">
        <v>85</v>
      </c>
    </row>
    <row r="501" spans="2:51" s="13" customFormat="1" ht="12">
      <c r="B501" s="149"/>
      <c r="D501" s="150" t="s">
        <v>154</v>
      </c>
      <c r="E501" s="151" t="s">
        <v>3</v>
      </c>
      <c r="F501" s="152" t="s">
        <v>239</v>
      </c>
      <c r="H501" s="151" t="s">
        <v>3</v>
      </c>
      <c r="I501" s="282"/>
      <c r="L501" s="149"/>
      <c r="M501" s="153"/>
      <c r="N501" s="154"/>
      <c r="O501" s="154"/>
      <c r="P501" s="154"/>
      <c r="Q501" s="154"/>
      <c r="R501" s="154"/>
      <c r="S501" s="154"/>
      <c r="T501" s="155"/>
      <c r="AT501" s="151" t="s">
        <v>154</v>
      </c>
      <c r="AU501" s="151" t="s">
        <v>85</v>
      </c>
      <c r="AV501" s="13" t="s">
        <v>83</v>
      </c>
      <c r="AW501" s="13" t="s">
        <v>37</v>
      </c>
      <c r="AX501" s="13" t="s">
        <v>75</v>
      </c>
      <c r="AY501" s="151" t="s">
        <v>144</v>
      </c>
    </row>
    <row r="502" spans="2:51" s="13" customFormat="1" ht="12">
      <c r="B502" s="149"/>
      <c r="D502" s="150" t="s">
        <v>154</v>
      </c>
      <c r="E502" s="151" t="s">
        <v>3</v>
      </c>
      <c r="F502" s="152" t="s">
        <v>166</v>
      </c>
      <c r="H502" s="151" t="s">
        <v>3</v>
      </c>
      <c r="I502" s="282"/>
      <c r="L502" s="149"/>
      <c r="M502" s="153"/>
      <c r="N502" s="154"/>
      <c r="O502" s="154"/>
      <c r="P502" s="154"/>
      <c r="Q502" s="154"/>
      <c r="R502" s="154"/>
      <c r="S502" s="154"/>
      <c r="T502" s="155"/>
      <c r="AT502" s="151" t="s">
        <v>154</v>
      </c>
      <c r="AU502" s="151" t="s">
        <v>85</v>
      </c>
      <c r="AV502" s="13" t="s">
        <v>83</v>
      </c>
      <c r="AW502" s="13" t="s">
        <v>37</v>
      </c>
      <c r="AX502" s="13" t="s">
        <v>75</v>
      </c>
      <c r="AY502" s="151" t="s">
        <v>144</v>
      </c>
    </row>
    <row r="503" spans="2:51" s="14" customFormat="1" ht="12">
      <c r="B503" s="156"/>
      <c r="D503" s="150" t="s">
        <v>154</v>
      </c>
      <c r="E503" s="157" t="s">
        <v>3</v>
      </c>
      <c r="F503" s="158" t="s">
        <v>1907</v>
      </c>
      <c r="H503" s="159">
        <f>10.4*2+4.67+0.52+4.74+8.68</f>
        <v>39.41</v>
      </c>
      <c r="I503" s="280"/>
      <c r="L503" s="156"/>
      <c r="M503" s="160"/>
      <c r="N503" s="161"/>
      <c r="O503" s="161"/>
      <c r="P503" s="161"/>
      <c r="Q503" s="161"/>
      <c r="R503" s="161"/>
      <c r="S503" s="161"/>
      <c r="T503" s="162"/>
      <c r="AT503" s="157" t="s">
        <v>154</v>
      </c>
      <c r="AU503" s="157" t="s">
        <v>85</v>
      </c>
      <c r="AV503" s="14" t="s">
        <v>85</v>
      </c>
      <c r="AW503" s="14" t="s">
        <v>37</v>
      </c>
      <c r="AX503" s="14" t="s">
        <v>75</v>
      </c>
      <c r="AY503" s="157" t="s">
        <v>144</v>
      </c>
    </row>
    <row r="504" spans="2:51" s="13" customFormat="1" ht="12">
      <c r="B504" s="149"/>
      <c r="D504" s="150" t="s">
        <v>154</v>
      </c>
      <c r="E504" s="151" t="s">
        <v>3</v>
      </c>
      <c r="F504" s="152" t="s">
        <v>167</v>
      </c>
      <c r="H504" s="151" t="s">
        <v>3</v>
      </c>
      <c r="I504" s="282"/>
      <c r="L504" s="149"/>
      <c r="M504" s="153"/>
      <c r="N504" s="154"/>
      <c r="O504" s="154"/>
      <c r="P504" s="154"/>
      <c r="Q504" s="154"/>
      <c r="R504" s="154"/>
      <c r="S504" s="154"/>
      <c r="T504" s="155"/>
      <c r="AT504" s="151" t="s">
        <v>154</v>
      </c>
      <c r="AU504" s="151" t="s">
        <v>85</v>
      </c>
      <c r="AV504" s="13" t="s">
        <v>83</v>
      </c>
      <c r="AW504" s="13" t="s">
        <v>37</v>
      </c>
      <c r="AX504" s="13" t="s">
        <v>75</v>
      </c>
      <c r="AY504" s="151" t="s">
        <v>144</v>
      </c>
    </row>
    <row r="505" spans="2:51" s="14" customFormat="1" ht="12">
      <c r="B505" s="156"/>
      <c r="D505" s="150" t="s">
        <v>154</v>
      </c>
      <c r="E505" s="157" t="s">
        <v>3</v>
      </c>
      <c r="F505" s="158" t="s">
        <v>1908</v>
      </c>
      <c r="H505" s="159">
        <f>7.24+6.8</f>
        <v>14.04</v>
      </c>
      <c r="I505" s="280"/>
      <c r="L505" s="156"/>
      <c r="M505" s="160"/>
      <c r="N505" s="161"/>
      <c r="O505" s="161"/>
      <c r="P505" s="161"/>
      <c r="Q505" s="161"/>
      <c r="R505" s="161"/>
      <c r="S505" s="161"/>
      <c r="T505" s="162"/>
      <c r="AT505" s="157" t="s">
        <v>154</v>
      </c>
      <c r="AU505" s="157" t="s">
        <v>85</v>
      </c>
      <c r="AV505" s="14" t="s">
        <v>85</v>
      </c>
      <c r="AW505" s="14" t="s">
        <v>37</v>
      </c>
      <c r="AX505" s="14" t="s">
        <v>75</v>
      </c>
      <c r="AY505" s="157" t="s">
        <v>144</v>
      </c>
    </row>
    <row r="506" spans="2:51" s="15" customFormat="1" ht="12">
      <c r="B506" s="166"/>
      <c r="D506" s="150" t="s">
        <v>154</v>
      </c>
      <c r="E506" s="167" t="s">
        <v>3</v>
      </c>
      <c r="F506" s="168" t="s">
        <v>161</v>
      </c>
      <c r="H506" s="169">
        <f>H503+H505</f>
        <v>53.449999999999996</v>
      </c>
      <c r="I506" s="284"/>
      <c r="L506" s="166"/>
      <c r="M506" s="170"/>
      <c r="N506" s="171"/>
      <c r="O506" s="171"/>
      <c r="P506" s="171"/>
      <c r="Q506" s="171"/>
      <c r="R506" s="171"/>
      <c r="S506" s="171"/>
      <c r="T506" s="172"/>
      <c r="AT506" s="167" t="s">
        <v>154</v>
      </c>
      <c r="AU506" s="167" t="s">
        <v>85</v>
      </c>
      <c r="AV506" s="15" t="s">
        <v>152</v>
      </c>
      <c r="AW506" s="15" t="s">
        <v>37</v>
      </c>
      <c r="AX506" s="15" t="s">
        <v>83</v>
      </c>
      <c r="AY506" s="167" t="s">
        <v>144</v>
      </c>
    </row>
    <row r="507" spans="1:65" s="2" customFormat="1" ht="37.9" customHeight="1">
      <c r="A507" s="31"/>
      <c r="B507" s="136"/>
      <c r="C507" s="137" t="s">
        <v>623</v>
      </c>
      <c r="D507" s="137" t="s">
        <v>147</v>
      </c>
      <c r="E507" s="138" t="s">
        <v>624</v>
      </c>
      <c r="F507" s="139" t="s">
        <v>625</v>
      </c>
      <c r="G507" s="140" t="s">
        <v>387</v>
      </c>
      <c r="H507" s="141">
        <f>SUM(J455:J506)/100</f>
        <v>0</v>
      </c>
      <c r="I507" s="278"/>
      <c r="J507" s="142">
        <f>ROUND(I507*H507,2)</f>
        <v>0</v>
      </c>
      <c r="K507" s="139" t="s">
        <v>157</v>
      </c>
      <c r="L507" s="32"/>
      <c r="M507" s="143" t="s">
        <v>3</v>
      </c>
      <c r="N507" s="144" t="s">
        <v>46</v>
      </c>
      <c r="O507" s="145">
        <v>0</v>
      </c>
      <c r="P507" s="145">
        <f>O507*H507</f>
        <v>0</v>
      </c>
      <c r="Q507" s="145">
        <v>0</v>
      </c>
      <c r="R507" s="145">
        <f>Q507*H507</f>
        <v>0</v>
      </c>
      <c r="S507" s="145">
        <v>0</v>
      </c>
      <c r="T507" s="146">
        <f>S507*H507</f>
        <v>0</v>
      </c>
      <c r="U507" s="31"/>
      <c r="V507" s="31"/>
      <c r="W507" s="31"/>
      <c r="X507" s="31"/>
      <c r="Y507" s="31"/>
      <c r="Z507" s="31"/>
      <c r="AA507" s="31"/>
      <c r="AB507" s="31"/>
      <c r="AC507" s="31"/>
      <c r="AD507" s="31"/>
      <c r="AE507" s="31"/>
      <c r="AR507" s="147" t="s">
        <v>218</v>
      </c>
      <c r="AT507" s="147" t="s">
        <v>147</v>
      </c>
      <c r="AU507" s="147" t="s">
        <v>85</v>
      </c>
      <c r="AY507" s="19" t="s">
        <v>144</v>
      </c>
      <c r="BE507" s="148">
        <f>IF(N507="základní",J507,0)</f>
        <v>0</v>
      </c>
      <c r="BF507" s="148">
        <f>IF(N507="snížená",J507,0)</f>
        <v>0</v>
      </c>
      <c r="BG507" s="148">
        <f>IF(N507="zákl. přenesená",J507,0)</f>
        <v>0</v>
      </c>
      <c r="BH507" s="148">
        <f>IF(N507="sníž. přenesená",J507,0)</f>
        <v>0</v>
      </c>
      <c r="BI507" s="148">
        <f>IF(N507="nulová",J507,0)</f>
        <v>0</v>
      </c>
      <c r="BJ507" s="19" t="s">
        <v>83</v>
      </c>
      <c r="BK507" s="148">
        <f>ROUND(I507*H507,2)</f>
        <v>0</v>
      </c>
      <c r="BL507" s="19" t="s">
        <v>218</v>
      </c>
      <c r="BM507" s="147" t="s">
        <v>626</v>
      </c>
    </row>
    <row r="508" spans="1:47" s="2" customFormat="1" ht="126.75">
      <c r="A508" s="31"/>
      <c r="B508" s="32"/>
      <c r="C508" s="31"/>
      <c r="D508" s="150" t="s">
        <v>158</v>
      </c>
      <c r="E508" s="31"/>
      <c r="F508" s="163" t="s">
        <v>627</v>
      </c>
      <c r="G508" s="31"/>
      <c r="H508" s="31"/>
      <c r="I508" s="279"/>
      <c r="J508" s="31"/>
      <c r="K508" s="31"/>
      <c r="L508" s="32"/>
      <c r="M508" s="164"/>
      <c r="N508" s="165"/>
      <c r="O508" s="52"/>
      <c r="P508" s="52"/>
      <c r="Q508" s="52"/>
      <c r="R508" s="52"/>
      <c r="S508" s="52"/>
      <c r="T508" s="53"/>
      <c r="U508" s="31"/>
      <c r="V508" s="31"/>
      <c r="W508" s="31"/>
      <c r="X508" s="31"/>
      <c r="Y508" s="31"/>
      <c r="Z508" s="31"/>
      <c r="AA508" s="31"/>
      <c r="AB508" s="31"/>
      <c r="AC508" s="31"/>
      <c r="AD508" s="31"/>
      <c r="AE508" s="31"/>
      <c r="AT508" s="19" t="s">
        <v>158</v>
      </c>
      <c r="AU508" s="19" t="s">
        <v>85</v>
      </c>
    </row>
    <row r="509" spans="1:65" s="2" customFormat="1" ht="49.15" customHeight="1">
      <c r="A509" s="31"/>
      <c r="B509" s="136"/>
      <c r="C509" s="137" t="s">
        <v>628</v>
      </c>
      <c r="D509" s="137" t="s">
        <v>147</v>
      </c>
      <c r="E509" s="138" t="s">
        <v>629</v>
      </c>
      <c r="F509" s="139" t="s">
        <v>630</v>
      </c>
      <c r="G509" s="140" t="s">
        <v>387</v>
      </c>
      <c r="H509" s="141">
        <f>H507</f>
        <v>0</v>
      </c>
      <c r="I509" s="278"/>
      <c r="J509" s="142">
        <f>ROUND(I509*H509,2)</f>
        <v>0</v>
      </c>
      <c r="K509" s="139" t="s">
        <v>157</v>
      </c>
      <c r="L509" s="32"/>
      <c r="M509" s="143" t="s">
        <v>3</v>
      </c>
      <c r="N509" s="144" t="s">
        <v>46</v>
      </c>
      <c r="O509" s="145">
        <v>0</v>
      </c>
      <c r="P509" s="145">
        <f>O509*H509</f>
        <v>0</v>
      </c>
      <c r="Q509" s="145">
        <v>0</v>
      </c>
      <c r="R509" s="145">
        <f>Q509*H509</f>
        <v>0</v>
      </c>
      <c r="S509" s="145">
        <v>0</v>
      </c>
      <c r="T509" s="146">
        <f>S509*H509</f>
        <v>0</v>
      </c>
      <c r="U509" s="31"/>
      <c r="V509" s="31"/>
      <c r="W509" s="31"/>
      <c r="X509" s="31"/>
      <c r="Y509" s="31"/>
      <c r="Z509" s="31"/>
      <c r="AA509" s="31"/>
      <c r="AB509" s="31"/>
      <c r="AC509" s="31"/>
      <c r="AD509" s="31"/>
      <c r="AE509" s="31"/>
      <c r="AR509" s="147" t="s">
        <v>218</v>
      </c>
      <c r="AT509" s="147" t="s">
        <v>147</v>
      </c>
      <c r="AU509" s="147" t="s">
        <v>85</v>
      </c>
      <c r="AY509" s="19" t="s">
        <v>144</v>
      </c>
      <c r="BE509" s="148">
        <f>IF(N509="základní",J509,0)</f>
        <v>0</v>
      </c>
      <c r="BF509" s="148">
        <f>IF(N509="snížená",J509,0)</f>
        <v>0</v>
      </c>
      <c r="BG509" s="148">
        <f>IF(N509="zákl. přenesená",J509,0)</f>
        <v>0</v>
      </c>
      <c r="BH509" s="148">
        <f>IF(N509="sníž. přenesená",J509,0)</f>
        <v>0</v>
      </c>
      <c r="BI509" s="148">
        <f>IF(N509="nulová",J509,0)</f>
        <v>0</v>
      </c>
      <c r="BJ509" s="19" t="s">
        <v>83</v>
      </c>
      <c r="BK509" s="148">
        <f>ROUND(I509*H509,2)</f>
        <v>0</v>
      </c>
      <c r="BL509" s="19" t="s">
        <v>218</v>
      </c>
      <c r="BM509" s="147" t="s">
        <v>631</v>
      </c>
    </row>
    <row r="510" spans="1:47" s="2" customFormat="1" ht="126.75">
      <c r="A510" s="31"/>
      <c r="B510" s="32"/>
      <c r="C510" s="31"/>
      <c r="D510" s="150" t="s">
        <v>158</v>
      </c>
      <c r="E510" s="31"/>
      <c r="F510" s="163" t="s">
        <v>627</v>
      </c>
      <c r="G510" s="31"/>
      <c r="H510" s="31"/>
      <c r="I510" s="279"/>
      <c r="J510" s="31"/>
      <c r="K510" s="31"/>
      <c r="L510" s="32"/>
      <c r="M510" s="164"/>
      <c r="N510" s="165"/>
      <c r="O510" s="52"/>
      <c r="P510" s="52"/>
      <c r="Q510" s="52"/>
      <c r="R510" s="52"/>
      <c r="S510" s="52"/>
      <c r="T510" s="53"/>
      <c r="U510" s="31"/>
      <c r="V510" s="31"/>
      <c r="W510" s="31"/>
      <c r="X510" s="31"/>
      <c r="Y510" s="31"/>
      <c r="Z510" s="31"/>
      <c r="AA510" s="31"/>
      <c r="AB510" s="31"/>
      <c r="AC510" s="31"/>
      <c r="AD510" s="31"/>
      <c r="AE510" s="31"/>
      <c r="AT510" s="19" t="s">
        <v>158</v>
      </c>
      <c r="AU510" s="19" t="s">
        <v>85</v>
      </c>
    </row>
    <row r="511" spans="2:63" s="12" customFormat="1" ht="22.9" customHeight="1">
      <c r="B511" s="124"/>
      <c r="D511" s="125" t="s">
        <v>74</v>
      </c>
      <c r="E511" s="134" t="s">
        <v>665</v>
      </c>
      <c r="F511" s="134" t="s">
        <v>666</v>
      </c>
      <c r="I511" s="285"/>
      <c r="J511" s="135">
        <f>SUM(J512:J552)</f>
        <v>0</v>
      </c>
      <c r="L511" s="124"/>
      <c r="M511" s="128"/>
      <c r="N511" s="129"/>
      <c r="O511" s="129"/>
      <c r="P511" s="130">
        <f>SUM(P541:P548)</f>
        <v>29.371650000000002</v>
      </c>
      <c r="Q511" s="129"/>
      <c r="R511" s="130">
        <f>SUM(R541:R548)</f>
        <v>0</v>
      </c>
      <c r="S511" s="129"/>
      <c r="T511" s="131">
        <f>SUM(T541:T548)</f>
        <v>0.6993250000000001</v>
      </c>
      <c r="AR511" s="125" t="s">
        <v>85</v>
      </c>
      <c r="AT511" s="132" t="s">
        <v>74</v>
      </c>
      <c r="AU511" s="132" t="s">
        <v>83</v>
      </c>
      <c r="AY511" s="125" t="s">
        <v>144</v>
      </c>
      <c r="BK511" s="133">
        <f>SUM(BK541:BK548)</f>
        <v>0</v>
      </c>
    </row>
    <row r="512" spans="1:65" s="2" customFormat="1" ht="37.9" customHeight="1">
      <c r="A512" s="31"/>
      <c r="B512" s="136"/>
      <c r="C512" s="286" t="s">
        <v>632</v>
      </c>
      <c r="D512" s="286" t="s">
        <v>147</v>
      </c>
      <c r="E512" s="287" t="s">
        <v>633</v>
      </c>
      <c r="F512" s="288" t="s">
        <v>1775</v>
      </c>
      <c r="G512" s="289" t="s">
        <v>183</v>
      </c>
      <c r="H512" s="290">
        <f>H519</f>
        <v>269.80129</v>
      </c>
      <c r="I512" s="278"/>
      <c r="J512" s="278">
        <f>ROUND(I512*H512,2)</f>
        <v>0</v>
      </c>
      <c r="K512" s="288" t="s">
        <v>157</v>
      </c>
      <c r="L512" s="32"/>
      <c r="M512" s="143" t="s">
        <v>3</v>
      </c>
      <c r="N512" s="144" t="s">
        <v>46</v>
      </c>
      <c r="O512" s="145">
        <v>0.65</v>
      </c>
      <c r="P512" s="145">
        <f>O512*H512</f>
        <v>175.3708385</v>
      </c>
      <c r="Q512" s="145">
        <v>0</v>
      </c>
      <c r="R512" s="145">
        <f>Q512*H512</f>
        <v>0</v>
      </c>
      <c r="S512" s="145">
        <v>0</v>
      </c>
      <c r="T512" s="146">
        <f>S512*H512</f>
        <v>0</v>
      </c>
      <c r="U512" s="31"/>
      <c r="V512" s="31"/>
      <c r="W512" s="31"/>
      <c r="X512" s="31"/>
      <c r="Y512" s="31"/>
      <c r="Z512" s="31"/>
      <c r="AA512" s="31"/>
      <c r="AB512" s="31"/>
      <c r="AC512" s="31"/>
      <c r="AD512" s="31"/>
      <c r="AE512" s="31"/>
      <c r="AR512" s="147" t="s">
        <v>218</v>
      </c>
      <c r="AT512" s="147" t="s">
        <v>147</v>
      </c>
      <c r="AU512" s="147" t="s">
        <v>85</v>
      </c>
      <c r="AY512" s="19" t="s">
        <v>144</v>
      </c>
      <c r="BE512" s="148">
        <f>IF(N512="základní",J512,0)</f>
        <v>0</v>
      </c>
      <c r="BF512" s="148">
        <f>IF(N512="snížená",J512,0)</f>
        <v>0</v>
      </c>
      <c r="BG512" s="148">
        <f>IF(N512="zákl. přenesená",J512,0)</f>
        <v>0</v>
      </c>
      <c r="BH512" s="148">
        <f>IF(N512="sníž. přenesená",J512,0)</f>
        <v>0</v>
      </c>
      <c r="BI512" s="148">
        <f>IF(N512="nulová",J512,0)</f>
        <v>0</v>
      </c>
      <c r="BJ512" s="19" t="s">
        <v>83</v>
      </c>
      <c r="BK512" s="148">
        <f>ROUND(I512*H512,2)</f>
        <v>0</v>
      </c>
      <c r="BL512" s="19" t="s">
        <v>218</v>
      </c>
      <c r="BM512" s="147" t="s">
        <v>634</v>
      </c>
    </row>
    <row r="513" spans="1:47" s="2" customFormat="1" ht="19.5">
      <c r="A513" s="31"/>
      <c r="B513" s="32"/>
      <c r="C513" s="31"/>
      <c r="D513" s="150" t="s">
        <v>270</v>
      </c>
      <c r="E513" s="31"/>
      <c r="F513" s="163" t="s">
        <v>635</v>
      </c>
      <c r="G513" s="31"/>
      <c r="H513" s="31"/>
      <c r="I513" s="279"/>
      <c r="J513" s="31"/>
      <c r="K513" s="31"/>
      <c r="L513" s="32"/>
      <c r="M513" s="164"/>
      <c r="N513" s="165"/>
      <c r="O513" s="52"/>
      <c r="P513" s="52"/>
      <c r="Q513" s="52"/>
      <c r="R513" s="52"/>
      <c r="S513" s="52"/>
      <c r="T513" s="53"/>
      <c r="U513" s="31"/>
      <c r="V513" s="31"/>
      <c r="W513" s="31"/>
      <c r="X513" s="31"/>
      <c r="Y513" s="31"/>
      <c r="Z513" s="31"/>
      <c r="AA513" s="31"/>
      <c r="AB513" s="31"/>
      <c r="AC513" s="31"/>
      <c r="AD513" s="31"/>
      <c r="AE513" s="31"/>
      <c r="AT513" s="19" t="s">
        <v>270</v>
      </c>
      <c r="AU513" s="19" t="s">
        <v>85</v>
      </c>
    </row>
    <row r="514" spans="2:51" s="13" customFormat="1" ht="12">
      <c r="B514" s="149"/>
      <c r="D514" s="150" t="s">
        <v>154</v>
      </c>
      <c r="E514" s="151" t="s">
        <v>3</v>
      </c>
      <c r="F514" s="152" t="s">
        <v>239</v>
      </c>
      <c r="H514" s="151" t="s">
        <v>3</v>
      </c>
      <c r="I514" s="282"/>
      <c r="L514" s="149"/>
      <c r="M514" s="153"/>
      <c r="N514" s="154"/>
      <c r="O514" s="154"/>
      <c r="P514" s="154"/>
      <c r="Q514" s="154"/>
      <c r="R514" s="154"/>
      <c r="S514" s="154"/>
      <c r="T514" s="155"/>
      <c r="AT514" s="151" t="s">
        <v>154</v>
      </c>
      <c r="AU514" s="151" t="s">
        <v>85</v>
      </c>
      <c r="AV514" s="13" t="s">
        <v>83</v>
      </c>
      <c r="AW514" s="13" t="s">
        <v>37</v>
      </c>
      <c r="AX514" s="13" t="s">
        <v>75</v>
      </c>
      <c r="AY514" s="151" t="s">
        <v>144</v>
      </c>
    </row>
    <row r="515" spans="2:51" s="13" customFormat="1" ht="12">
      <c r="B515" s="149"/>
      <c r="D515" s="150" t="s">
        <v>154</v>
      </c>
      <c r="E515" s="151" t="s">
        <v>3</v>
      </c>
      <c r="F515" s="152" t="s">
        <v>166</v>
      </c>
      <c r="H515" s="151" t="s">
        <v>3</v>
      </c>
      <c r="I515" s="282"/>
      <c r="L515" s="149"/>
      <c r="M515" s="153"/>
      <c r="N515" s="154"/>
      <c r="O515" s="154"/>
      <c r="P515" s="154"/>
      <c r="Q515" s="154"/>
      <c r="R515" s="154"/>
      <c r="S515" s="154"/>
      <c r="T515" s="155"/>
      <c r="AT515" s="151" t="s">
        <v>154</v>
      </c>
      <c r="AU515" s="151" t="s">
        <v>85</v>
      </c>
      <c r="AV515" s="13" t="s">
        <v>83</v>
      </c>
      <c r="AW515" s="13" t="s">
        <v>37</v>
      </c>
      <c r="AX515" s="13" t="s">
        <v>75</v>
      </c>
      <c r="AY515" s="151" t="s">
        <v>144</v>
      </c>
    </row>
    <row r="516" spans="2:51" s="14" customFormat="1" ht="12">
      <c r="B516" s="156"/>
      <c r="D516" s="150" t="s">
        <v>154</v>
      </c>
      <c r="E516" s="157" t="s">
        <v>3</v>
      </c>
      <c r="F516" s="158" t="s">
        <v>1872</v>
      </c>
      <c r="H516" s="159">
        <f>2.55+20.75+6.59+3.18+15.99+15.46+21.38+10.91+10.29</f>
        <v>107.1</v>
      </c>
      <c r="I516" s="280"/>
      <c r="L516" s="156"/>
      <c r="M516" s="160"/>
      <c r="N516" s="161"/>
      <c r="O516" s="161"/>
      <c r="P516" s="161"/>
      <c r="Q516" s="161"/>
      <c r="R516" s="161"/>
      <c r="S516" s="161"/>
      <c r="T516" s="162"/>
      <c r="AT516" s="157" t="s">
        <v>154</v>
      </c>
      <c r="AU516" s="157" t="s">
        <v>85</v>
      </c>
      <c r="AV516" s="14" t="s">
        <v>85</v>
      </c>
      <c r="AW516" s="14" t="s">
        <v>37</v>
      </c>
      <c r="AX516" s="14" t="s">
        <v>75</v>
      </c>
      <c r="AY516" s="157" t="s">
        <v>144</v>
      </c>
    </row>
    <row r="517" spans="2:51" s="13" customFormat="1" ht="12">
      <c r="B517" s="149"/>
      <c r="D517" s="150" t="s">
        <v>154</v>
      </c>
      <c r="E517" s="151" t="s">
        <v>3</v>
      </c>
      <c r="F517" s="152" t="s">
        <v>167</v>
      </c>
      <c r="H517" s="151" t="s">
        <v>3</v>
      </c>
      <c r="I517" s="282"/>
      <c r="L517" s="149"/>
      <c r="M517" s="153"/>
      <c r="N517" s="154"/>
      <c r="O517" s="154"/>
      <c r="P517" s="154"/>
      <c r="Q517" s="154"/>
      <c r="R517" s="154"/>
      <c r="S517" s="154"/>
      <c r="T517" s="155"/>
      <c r="AT517" s="151" t="s">
        <v>154</v>
      </c>
      <c r="AU517" s="151" t="s">
        <v>85</v>
      </c>
      <c r="AV517" s="13" t="s">
        <v>83</v>
      </c>
      <c r="AW517" s="13" t="s">
        <v>37</v>
      </c>
      <c r="AX517" s="13" t="s">
        <v>75</v>
      </c>
      <c r="AY517" s="151" t="s">
        <v>144</v>
      </c>
    </row>
    <row r="518" spans="2:51" s="14" customFormat="1" ht="22.5">
      <c r="B518" s="156"/>
      <c r="D518" s="150" t="s">
        <v>154</v>
      </c>
      <c r="E518" s="157" t="s">
        <v>3</v>
      </c>
      <c r="F518" s="158" t="s">
        <v>1909</v>
      </c>
      <c r="H518" s="159">
        <f>9.36+30.05+11.31+7.06+7.06+8.39+8.56+8.56+8.39+13.14+9.09+8.54129+16.53+16.66</f>
        <v>162.70129</v>
      </c>
      <c r="I518" s="280"/>
      <c r="L518" s="156"/>
      <c r="M518" s="160"/>
      <c r="N518" s="161"/>
      <c r="O518" s="161"/>
      <c r="P518" s="161"/>
      <c r="Q518" s="161"/>
      <c r="R518" s="161"/>
      <c r="S518" s="161"/>
      <c r="T518" s="162"/>
      <c r="AT518" s="157" t="s">
        <v>154</v>
      </c>
      <c r="AU518" s="157" t="s">
        <v>85</v>
      </c>
      <c r="AV518" s="14" t="s">
        <v>85</v>
      </c>
      <c r="AW518" s="14" t="s">
        <v>37</v>
      </c>
      <c r="AX518" s="14" t="s">
        <v>75</v>
      </c>
      <c r="AY518" s="157" t="s">
        <v>144</v>
      </c>
    </row>
    <row r="519" spans="2:51" s="15" customFormat="1" ht="12">
      <c r="B519" s="166"/>
      <c r="D519" s="150" t="s">
        <v>154</v>
      </c>
      <c r="E519" s="167" t="s">
        <v>3</v>
      </c>
      <c r="F519" s="168" t="s">
        <v>161</v>
      </c>
      <c r="H519" s="169">
        <f>H516+H518</f>
        <v>269.80129</v>
      </c>
      <c r="I519" s="284"/>
      <c r="L519" s="166"/>
      <c r="M519" s="170"/>
      <c r="N519" s="171"/>
      <c r="O519" s="171"/>
      <c r="P519" s="171"/>
      <c r="Q519" s="171"/>
      <c r="R519" s="171"/>
      <c r="S519" s="171"/>
      <c r="T519" s="172"/>
      <c r="AT519" s="167" t="s">
        <v>154</v>
      </c>
      <c r="AU519" s="167" t="s">
        <v>85</v>
      </c>
      <c r="AV519" s="15" t="s">
        <v>152</v>
      </c>
      <c r="AW519" s="15" t="s">
        <v>37</v>
      </c>
      <c r="AX519" s="15" t="s">
        <v>83</v>
      </c>
      <c r="AY519" s="167" t="s">
        <v>144</v>
      </c>
    </row>
    <row r="520" spans="1:65" s="2" customFormat="1" ht="24.2" customHeight="1">
      <c r="A520" s="31"/>
      <c r="B520" s="136"/>
      <c r="C520" s="291" t="s">
        <v>636</v>
      </c>
      <c r="D520" s="291" t="s">
        <v>174</v>
      </c>
      <c r="E520" s="292" t="s">
        <v>637</v>
      </c>
      <c r="F520" s="293" t="s">
        <v>1774</v>
      </c>
      <c r="G520" s="294" t="s">
        <v>183</v>
      </c>
      <c r="H520" s="295">
        <v>150.524</v>
      </c>
      <c r="I520" s="281"/>
      <c r="J520" s="281">
        <f>ROUND(I520*H520,2)</f>
        <v>0</v>
      </c>
      <c r="K520" s="293" t="s">
        <v>151</v>
      </c>
      <c r="L520" s="179"/>
      <c r="M520" s="180" t="s">
        <v>3</v>
      </c>
      <c r="N520" s="181" t="s">
        <v>46</v>
      </c>
      <c r="O520" s="145">
        <v>0</v>
      </c>
      <c r="P520" s="145">
        <f>O520*H520</f>
        <v>0</v>
      </c>
      <c r="Q520" s="145">
        <v>0.007</v>
      </c>
      <c r="R520" s="145">
        <f>Q520*H520</f>
        <v>1.053668</v>
      </c>
      <c r="S520" s="145">
        <v>0</v>
      </c>
      <c r="T520" s="146">
        <f>S520*H520</f>
        <v>0</v>
      </c>
      <c r="U520" s="31"/>
      <c r="V520" s="275"/>
      <c r="W520" s="275"/>
      <c r="X520" s="31"/>
      <c r="Y520" s="31"/>
      <c r="Z520" s="31"/>
      <c r="AA520" s="31"/>
      <c r="AB520" s="31"/>
      <c r="AC520" s="31"/>
      <c r="AD520" s="31"/>
      <c r="AE520" s="31"/>
      <c r="AR520" s="147" t="s">
        <v>248</v>
      </c>
      <c r="AT520" s="147" t="s">
        <v>174</v>
      </c>
      <c r="AU520" s="147" t="s">
        <v>85</v>
      </c>
      <c r="AY520" s="19" t="s">
        <v>144</v>
      </c>
      <c r="BE520" s="148">
        <f>IF(N520="základní",J520,0)</f>
        <v>0</v>
      </c>
      <c r="BF520" s="148">
        <f>IF(N520="snížená",J520,0)</f>
        <v>0</v>
      </c>
      <c r="BG520" s="148">
        <f>IF(N520="zákl. přenesená",J520,0)</f>
        <v>0</v>
      </c>
      <c r="BH520" s="148">
        <f>IF(N520="sníž. přenesená",J520,0)</f>
        <v>0</v>
      </c>
      <c r="BI520" s="148">
        <f>IF(N520="nulová",J520,0)</f>
        <v>0</v>
      </c>
      <c r="BJ520" s="19" t="s">
        <v>83</v>
      </c>
      <c r="BK520" s="148">
        <f>ROUND(I520*H520,2)</f>
        <v>0</v>
      </c>
      <c r="BL520" s="19" t="s">
        <v>218</v>
      </c>
      <c r="BM520" s="147" t="s">
        <v>638</v>
      </c>
    </row>
    <row r="521" spans="1:47" s="2" customFormat="1" ht="29.25">
      <c r="A521" s="31"/>
      <c r="B521" s="32"/>
      <c r="C521" s="279"/>
      <c r="D521" s="296" t="s">
        <v>270</v>
      </c>
      <c r="E521" s="279"/>
      <c r="F521" s="297" t="s">
        <v>639</v>
      </c>
      <c r="G521" s="279"/>
      <c r="H521" s="279"/>
      <c r="I521" s="279"/>
      <c r="J521" s="279"/>
      <c r="K521" s="279"/>
      <c r="L521" s="32"/>
      <c r="M521" s="164"/>
      <c r="N521" s="165"/>
      <c r="O521" s="52"/>
      <c r="P521" s="52"/>
      <c r="Q521" s="52"/>
      <c r="R521" s="52"/>
      <c r="S521" s="52"/>
      <c r="T521" s="53"/>
      <c r="U521" s="31"/>
      <c r="V521" s="31"/>
      <c r="W521" s="31"/>
      <c r="X521" s="31"/>
      <c r="Y521" s="31"/>
      <c r="Z521" s="31"/>
      <c r="AA521" s="31"/>
      <c r="AB521" s="31"/>
      <c r="AC521" s="31"/>
      <c r="AD521" s="31"/>
      <c r="AE521" s="31"/>
      <c r="AT521" s="19" t="s">
        <v>270</v>
      </c>
      <c r="AU521" s="19" t="s">
        <v>85</v>
      </c>
    </row>
    <row r="522" spans="2:51" s="14" customFormat="1" ht="12">
      <c r="B522" s="156"/>
      <c r="C522" s="280"/>
      <c r="D522" s="296" t="s">
        <v>154</v>
      </c>
      <c r="E522" s="280"/>
      <c r="F522" s="298" t="s">
        <v>1910</v>
      </c>
      <c r="G522" s="280"/>
      <c r="H522" s="299">
        <f>H520*1.2</f>
        <v>180.62879999999998</v>
      </c>
      <c r="I522" s="280"/>
      <c r="J522" s="280"/>
      <c r="K522" s="280"/>
      <c r="L522" s="156"/>
      <c r="M522" s="160"/>
      <c r="N522" s="161"/>
      <c r="O522" s="161"/>
      <c r="P522" s="161"/>
      <c r="Q522" s="161"/>
      <c r="R522" s="161"/>
      <c r="S522" s="161"/>
      <c r="T522" s="162"/>
      <c r="AT522" s="157" t="s">
        <v>154</v>
      </c>
      <c r="AU522" s="157" t="s">
        <v>85</v>
      </c>
      <c r="AV522" s="14" t="s">
        <v>85</v>
      </c>
      <c r="AW522" s="14" t="s">
        <v>4</v>
      </c>
      <c r="AX522" s="14" t="s">
        <v>83</v>
      </c>
      <c r="AY522" s="157" t="s">
        <v>144</v>
      </c>
    </row>
    <row r="523" spans="1:65" s="2" customFormat="1" ht="14.45" customHeight="1">
      <c r="A523" s="31"/>
      <c r="B523" s="136"/>
      <c r="C523" s="137" t="s">
        <v>640</v>
      </c>
      <c r="D523" s="137" t="s">
        <v>147</v>
      </c>
      <c r="E523" s="138" t="s">
        <v>641</v>
      </c>
      <c r="F523" s="139" t="s">
        <v>642</v>
      </c>
      <c r="G523" s="140" t="s">
        <v>201</v>
      </c>
      <c r="H523" s="141">
        <f>H530</f>
        <v>373.51</v>
      </c>
      <c r="I523" s="278"/>
      <c r="J523" s="142">
        <f>ROUND(I523*H523,2)</f>
        <v>0</v>
      </c>
      <c r="K523" s="139" t="s">
        <v>157</v>
      </c>
      <c r="L523" s="32"/>
      <c r="M523" s="143" t="s">
        <v>3</v>
      </c>
      <c r="N523" s="144" t="s">
        <v>46</v>
      </c>
      <c r="O523" s="145">
        <v>0.1</v>
      </c>
      <c r="P523" s="145">
        <f>O523*H523</f>
        <v>37.351</v>
      </c>
      <c r="Q523" s="145">
        <v>0</v>
      </c>
      <c r="R523" s="145">
        <f>Q523*H523</f>
        <v>0</v>
      </c>
      <c r="S523" s="145">
        <v>0</v>
      </c>
      <c r="T523" s="146">
        <f>S523*H523</f>
        <v>0</v>
      </c>
      <c r="U523" s="31"/>
      <c r="V523" s="31"/>
      <c r="W523" s="31"/>
      <c r="X523" s="31"/>
      <c r="Y523" s="31"/>
      <c r="Z523" s="31"/>
      <c r="AA523" s="31"/>
      <c r="AB523" s="31"/>
      <c r="AC523" s="31"/>
      <c r="AD523" s="31"/>
      <c r="AE523" s="31"/>
      <c r="AR523" s="147" t="s">
        <v>218</v>
      </c>
      <c r="AT523" s="147" t="s">
        <v>147</v>
      </c>
      <c r="AU523" s="147" t="s">
        <v>85</v>
      </c>
      <c r="AY523" s="19" t="s">
        <v>144</v>
      </c>
      <c r="BE523" s="148">
        <f>IF(N523="základní",J523,0)</f>
        <v>0</v>
      </c>
      <c r="BF523" s="148">
        <f>IF(N523="snížená",J523,0)</f>
        <v>0</v>
      </c>
      <c r="BG523" s="148">
        <f>IF(N523="zákl. přenesená",J523,0)</f>
        <v>0</v>
      </c>
      <c r="BH523" s="148">
        <f>IF(N523="sníž. přenesená",J523,0)</f>
        <v>0</v>
      </c>
      <c r="BI523" s="148">
        <f>IF(N523="nulová",J523,0)</f>
        <v>0</v>
      </c>
      <c r="BJ523" s="19" t="s">
        <v>83</v>
      </c>
      <c r="BK523" s="148">
        <f>ROUND(I523*H523,2)</f>
        <v>0</v>
      </c>
      <c r="BL523" s="19" t="s">
        <v>218</v>
      </c>
      <c r="BM523" s="147" t="s">
        <v>643</v>
      </c>
    </row>
    <row r="524" spans="1:47" s="2" customFormat="1" ht="48.75">
      <c r="A524" s="31"/>
      <c r="B524" s="32"/>
      <c r="C524" s="31"/>
      <c r="D524" s="150" t="s">
        <v>158</v>
      </c>
      <c r="E524" s="31"/>
      <c r="F524" s="163" t="s">
        <v>644</v>
      </c>
      <c r="G524" s="31"/>
      <c r="H524" s="31"/>
      <c r="I524" s="279"/>
      <c r="J524" s="31"/>
      <c r="K524" s="31"/>
      <c r="L524" s="32"/>
      <c r="M524" s="164"/>
      <c r="N524" s="165"/>
      <c r="O524" s="52"/>
      <c r="P524" s="52"/>
      <c r="Q524" s="52"/>
      <c r="R524" s="52"/>
      <c r="S524" s="52"/>
      <c r="T524" s="53"/>
      <c r="U524" s="31"/>
      <c r="V524" s="31"/>
      <c r="W524" s="31"/>
      <c r="X524" s="31"/>
      <c r="Y524" s="31"/>
      <c r="Z524" s="31"/>
      <c r="AA524" s="31"/>
      <c r="AB524" s="31"/>
      <c r="AC524" s="31"/>
      <c r="AD524" s="31"/>
      <c r="AE524" s="31"/>
      <c r="AT524" s="19" t="s">
        <v>158</v>
      </c>
      <c r="AU524" s="19" t="s">
        <v>85</v>
      </c>
    </row>
    <row r="525" spans="2:51" s="13" customFormat="1" ht="12">
      <c r="B525" s="149"/>
      <c r="D525" s="150" t="s">
        <v>154</v>
      </c>
      <c r="E525" s="151" t="s">
        <v>3</v>
      </c>
      <c r="F525" s="152" t="s">
        <v>239</v>
      </c>
      <c r="H525" s="151" t="s">
        <v>3</v>
      </c>
      <c r="I525" s="282"/>
      <c r="L525" s="149"/>
      <c r="M525" s="153"/>
      <c r="N525" s="154"/>
      <c r="O525" s="154"/>
      <c r="P525" s="154"/>
      <c r="Q525" s="154"/>
      <c r="R525" s="154"/>
      <c r="S525" s="154"/>
      <c r="T525" s="155"/>
      <c r="AT525" s="151" t="s">
        <v>154</v>
      </c>
      <c r="AU525" s="151" t="s">
        <v>85</v>
      </c>
      <c r="AV525" s="13" t="s">
        <v>83</v>
      </c>
      <c r="AW525" s="13" t="s">
        <v>37</v>
      </c>
      <c r="AX525" s="13" t="s">
        <v>75</v>
      </c>
      <c r="AY525" s="151" t="s">
        <v>144</v>
      </c>
    </row>
    <row r="526" spans="2:51" s="13" customFormat="1" ht="12">
      <c r="B526" s="149"/>
      <c r="D526" s="150" t="s">
        <v>154</v>
      </c>
      <c r="E526" s="151" t="s">
        <v>3</v>
      </c>
      <c r="F526" s="152" t="s">
        <v>166</v>
      </c>
      <c r="H526" s="151" t="s">
        <v>3</v>
      </c>
      <c r="I526" s="282"/>
      <c r="L526" s="149"/>
      <c r="M526" s="153"/>
      <c r="N526" s="154"/>
      <c r="O526" s="154"/>
      <c r="P526" s="154"/>
      <c r="Q526" s="154"/>
      <c r="R526" s="154"/>
      <c r="S526" s="154"/>
      <c r="T526" s="155"/>
      <c r="AT526" s="151" t="s">
        <v>154</v>
      </c>
      <c r="AU526" s="151" t="s">
        <v>85</v>
      </c>
      <c r="AV526" s="13" t="s">
        <v>83</v>
      </c>
      <c r="AW526" s="13" t="s">
        <v>37</v>
      </c>
      <c r="AX526" s="13" t="s">
        <v>75</v>
      </c>
      <c r="AY526" s="151" t="s">
        <v>144</v>
      </c>
    </row>
    <row r="527" spans="2:51" s="14" customFormat="1" ht="12">
      <c r="B527" s="156"/>
      <c r="D527" s="150" t="s">
        <v>154</v>
      </c>
      <c r="E527" s="157" t="s">
        <v>3</v>
      </c>
      <c r="F527" s="158" t="s">
        <v>1911</v>
      </c>
      <c r="H527" s="159">
        <f>6.45+31.58+10.29+19.12+16+15.9+18.96+13.87+13.96</f>
        <v>146.13000000000002</v>
      </c>
      <c r="I527" s="280"/>
      <c r="L527" s="156"/>
      <c r="M527" s="160"/>
      <c r="N527" s="161"/>
      <c r="O527" s="161"/>
      <c r="P527" s="161"/>
      <c r="Q527" s="161"/>
      <c r="R527" s="161"/>
      <c r="S527" s="161"/>
      <c r="T527" s="162"/>
      <c r="AT527" s="157" t="s">
        <v>154</v>
      </c>
      <c r="AU527" s="157" t="s">
        <v>85</v>
      </c>
      <c r="AV527" s="14" t="s">
        <v>85</v>
      </c>
      <c r="AW527" s="14" t="s">
        <v>37</v>
      </c>
      <c r="AX527" s="14" t="s">
        <v>75</v>
      </c>
      <c r="AY527" s="157" t="s">
        <v>144</v>
      </c>
    </row>
    <row r="528" spans="2:51" s="13" customFormat="1" ht="12">
      <c r="B528" s="149"/>
      <c r="D528" s="150" t="s">
        <v>154</v>
      </c>
      <c r="E528" s="151" t="s">
        <v>3</v>
      </c>
      <c r="F528" s="152" t="s">
        <v>167</v>
      </c>
      <c r="H528" s="151" t="s">
        <v>3</v>
      </c>
      <c r="I528" s="282"/>
      <c r="L528" s="149"/>
      <c r="M528" s="153"/>
      <c r="N528" s="154"/>
      <c r="O528" s="154"/>
      <c r="P528" s="154"/>
      <c r="Q528" s="154"/>
      <c r="R528" s="154"/>
      <c r="S528" s="154"/>
      <c r="T528" s="155"/>
      <c r="AT528" s="151" t="s">
        <v>154</v>
      </c>
      <c r="AU528" s="151" t="s">
        <v>85</v>
      </c>
      <c r="AV528" s="13" t="s">
        <v>83</v>
      </c>
      <c r="AW528" s="13" t="s">
        <v>37</v>
      </c>
      <c r="AX528" s="13" t="s">
        <v>75</v>
      </c>
      <c r="AY528" s="151" t="s">
        <v>144</v>
      </c>
    </row>
    <row r="529" spans="2:51" s="14" customFormat="1" ht="22.5">
      <c r="B529" s="156"/>
      <c r="D529" s="150" t="s">
        <v>154</v>
      </c>
      <c r="E529" s="157" t="s">
        <v>3</v>
      </c>
      <c r="F529" s="158" t="s">
        <v>1912</v>
      </c>
      <c r="H529" s="159">
        <f>12.6+43.44+13.6+11.44+11.44+12.12+12.19+12.19+12.12+14.54+12.48+12.18+14.42+16.28+16.34</f>
        <v>227.38</v>
      </c>
      <c r="I529" s="280"/>
      <c r="L529" s="156"/>
      <c r="M529" s="160"/>
      <c r="N529" s="161"/>
      <c r="O529" s="161"/>
      <c r="P529" s="161"/>
      <c r="Q529" s="161"/>
      <c r="R529" s="161"/>
      <c r="S529" s="161"/>
      <c r="T529" s="162"/>
      <c r="AT529" s="157" t="s">
        <v>154</v>
      </c>
      <c r="AU529" s="157" t="s">
        <v>85</v>
      </c>
      <c r="AV529" s="14" t="s">
        <v>85</v>
      </c>
      <c r="AW529" s="14" t="s">
        <v>37</v>
      </c>
      <c r="AX529" s="14" t="s">
        <v>75</v>
      </c>
      <c r="AY529" s="157" t="s">
        <v>144</v>
      </c>
    </row>
    <row r="530" spans="2:51" s="15" customFormat="1" ht="12">
      <c r="B530" s="166"/>
      <c r="D530" s="150" t="s">
        <v>154</v>
      </c>
      <c r="E530" s="167" t="s">
        <v>3</v>
      </c>
      <c r="F530" s="168" t="s">
        <v>161</v>
      </c>
      <c r="H530" s="169">
        <f>H527+H529</f>
        <v>373.51</v>
      </c>
      <c r="I530" s="284"/>
      <c r="L530" s="166"/>
      <c r="M530" s="170"/>
      <c r="N530" s="171"/>
      <c r="O530" s="171"/>
      <c r="P530" s="171"/>
      <c r="Q530" s="171"/>
      <c r="R530" s="171"/>
      <c r="S530" s="171"/>
      <c r="T530" s="172"/>
      <c r="AT530" s="167" t="s">
        <v>154</v>
      </c>
      <c r="AU530" s="167" t="s">
        <v>85</v>
      </c>
      <c r="AV530" s="15" t="s">
        <v>152</v>
      </c>
      <c r="AW530" s="15" t="s">
        <v>37</v>
      </c>
      <c r="AX530" s="15" t="s">
        <v>83</v>
      </c>
      <c r="AY530" s="167" t="s">
        <v>144</v>
      </c>
    </row>
    <row r="531" spans="1:65" s="2" customFormat="1" ht="24.2" customHeight="1">
      <c r="A531" s="31"/>
      <c r="B531" s="136"/>
      <c r="C531" s="173" t="s">
        <v>645</v>
      </c>
      <c r="D531" s="173" t="s">
        <v>174</v>
      </c>
      <c r="E531" s="174" t="s">
        <v>646</v>
      </c>
      <c r="F531" s="175" t="s">
        <v>647</v>
      </c>
      <c r="G531" s="176" t="s">
        <v>201</v>
      </c>
      <c r="H531" s="177">
        <f>H533</f>
        <v>410.86100000000005</v>
      </c>
      <c r="I531" s="281"/>
      <c r="J531" s="178">
        <f>ROUND(I531*H531,2)</f>
        <v>0</v>
      </c>
      <c r="K531" s="175" t="s">
        <v>151</v>
      </c>
      <c r="L531" s="179"/>
      <c r="M531" s="180" t="s">
        <v>3</v>
      </c>
      <c r="N531" s="181" t="s">
        <v>46</v>
      </c>
      <c r="O531" s="145">
        <v>0</v>
      </c>
      <c r="P531" s="145">
        <f>O531*H531</f>
        <v>0</v>
      </c>
      <c r="Q531" s="145">
        <v>0.00028</v>
      </c>
      <c r="R531" s="145">
        <f>Q531*H531</f>
        <v>0.11504108</v>
      </c>
      <c r="S531" s="145">
        <v>0</v>
      </c>
      <c r="T531" s="146">
        <f>S531*H531</f>
        <v>0</v>
      </c>
      <c r="U531" s="31"/>
      <c r="V531" s="31"/>
      <c r="W531" s="31"/>
      <c r="X531" s="31"/>
      <c r="Y531" s="31"/>
      <c r="Z531" s="31"/>
      <c r="AA531" s="31"/>
      <c r="AB531" s="31"/>
      <c r="AC531" s="31"/>
      <c r="AD531" s="31"/>
      <c r="AE531" s="31"/>
      <c r="AR531" s="147" t="s">
        <v>248</v>
      </c>
      <c r="AT531" s="147" t="s">
        <v>174</v>
      </c>
      <c r="AU531" s="147" t="s">
        <v>85</v>
      </c>
      <c r="AY531" s="19" t="s">
        <v>144</v>
      </c>
      <c r="BE531" s="148">
        <f>IF(N531="základní",J531,0)</f>
        <v>0</v>
      </c>
      <c r="BF531" s="148">
        <f>IF(N531="snížená",J531,0)</f>
        <v>0</v>
      </c>
      <c r="BG531" s="148">
        <f>IF(N531="zákl. přenesená",J531,0)</f>
        <v>0</v>
      </c>
      <c r="BH531" s="148">
        <f>IF(N531="sníž. přenesená",J531,0)</f>
        <v>0</v>
      </c>
      <c r="BI531" s="148">
        <f>IF(N531="nulová",J531,0)</f>
        <v>0</v>
      </c>
      <c r="BJ531" s="19" t="s">
        <v>83</v>
      </c>
      <c r="BK531" s="148">
        <f>ROUND(I531*H531,2)</f>
        <v>0</v>
      </c>
      <c r="BL531" s="19" t="s">
        <v>218</v>
      </c>
      <c r="BM531" s="147" t="s">
        <v>648</v>
      </c>
    </row>
    <row r="532" spans="1:47" s="2" customFormat="1" ht="29.25">
      <c r="A532" s="31"/>
      <c r="B532" s="32"/>
      <c r="C532" s="31"/>
      <c r="D532" s="150" t="s">
        <v>270</v>
      </c>
      <c r="E532" s="31"/>
      <c r="F532" s="163" t="s">
        <v>639</v>
      </c>
      <c r="G532" s="31"/>
      <c r="H532" s="31"/>
      <c r="I532" s="279"/>
      <c r="J532" s="31"/>
      <c r="K532" s="31"/>
      <c r="L532" s="32"/>
      <c r="M532" s="164"/>
      <c r="N532" s="165"/>
      <c r="O532" s="52"/>
      <c r="P532" s="52"/>
      <c r="Q532" s="52"/>
      <c r="R532" s="52"/>
      <c r="S532" s="52"/>
      <c r="T532" s="53"/>
      <c r="U532" s="31"/>
      <c r="V532" s="31"/>
      <c r="W532" s="31"/>
      <c r="X532" s="31"/>
      <c r="Y532" s="31"/>
      <c r="Z532" s="31"/>
      <c r="AA532" s="31"/>
      <c r="AB532" s="31"/>
      <c r="AC532" s="31"/>
      <c r="AD532" s="31"/>
      <c r="AE532" s="31"/>
      <c r="AT532" s="19" t="s">
        <v>270</v>
      </c>
      <c r="AU532" s="19" t="s">
        <v>85</v>
      </c>
    </row>
    <row r="533" spans="2:51" s="14" customFormat="1" ht="12">
      <c r="B533" s="156"/>
      <c r="D533" s="150" t="s">
        <v>154</v>
      </c>
      <c r="F533" s="158" t="s">
        <v>1913</v>
      </c>
      <c r="H533" s="159">
        <f>H523*1.1</f>
        <v>410.86100000000005</v>
      </c>
      <c r="I533" s="280"/>
      <c r="L533" s="156"/>
      <c r="M533" s="160"/>
      <c r="N533" s="161"/>
      <c r="O533" s="161"/>
      <c r="P533" s="161"/>
      <c r="Q533" s="161"/>
      <c r="R533" s="161"/>
      <c r="S533" s="161"/>
      <c r="T533" s="162"/>
      <c r="AT533" s="157" t="s">
        <v>154</v>
      </c>
      <c r="AU533" s="157" t="s">
        <v>85</v>
      </c>
      <c r="AV533" s="14" t="s">
        <v>85</v>
      </c>
      <c r="AW533" s="14" t="s">
        <v>4</v>
      </c>
      <c r="AX533" s="14" t="s">
        <v>83</v>
      </c>
      <c r="AY533" s="157" t="s">
        <v>144</v>
      </c>
    </row>
    <row r="534" spans="1:65" s="2" customFormat="1" ht="14.45" customHeight="1">
      <c r="A534" s="31"/>
      <c r="B534" s="136"/>
      <c r="C534" s="137" t="s">
        <v>649</v>
      </c>
      <c r="D534" s="137" t="s">
        <v>147</v>
      </c>
      <c r="E534" s="138" t="s">
        <v>650</v>
      </c>
      <c r="F534" s="139" t="s">
        <v>651</v>
      </c>
      <c r="G534" s="140" t="s">
        <v>201</v>
      </c>
      <c r="H534" s="141">
        <f>H539</f>
        <v>6</v>
      </c>
      <c r="I534" s="278"/>
      <c r="J534" s="142">
        <f>ROUND(I534*H534,2)</f>
        <v>0</v>
      </c>
      <c r="K534" s="139" t="s">
        <v>157</v>
      </c>
      <c r="L534" s="32"/>
      <c r="M534" s="143" t="s">
        <v>3</v>
      </c>
      <c r="N534" s="144" t="s">
        <v>46</v>
      </c>
      <c r="O534" s="145">
        <v>0.12</v>
      </c>
      <c r="P534" s="145">
        <f>O534*H534</f>
        <v>0.72</v>
      </c>
      <c r="Q534" s="145">
        <v>4E-05</v>
      </c>
      <c r="R534" s="145">
        <f>Q534*H534</f>
        <v>0.00024000000000000003</v>
      </c>
      <c r="S534" s="145">
        <v>0</v>
      </c>
      <c r="T534" s="146">
        <f>S534*H534</f>
        <v>0</v>
      </c>
      <c r="U534" s="31"/>
      <c r="V534" s="31"/>
      <c r="W534" s="31"/>
      <c r="X534" s="31"/>
      <c r="Y534" s="31"/>
      <c r="Z534" s="31"/>
      <c r="AA534" s="31"/>
      <c r="AB534" s="31"/>
      <c r="AC534" s="31"/>
      <c r="AD534" s="31"/>
      <c r="AE534" s="31"/>
      <c r="AR534" s="147" t="s">
        <v>218</v>
      </c>
      <c r="AT534" s="147" t="s">
        <v>147</v>
      </c>
      <c r="AU534" s="147" t="s">
        <v>85</v>
      </c>
      <c r="AY534" s="19" t="s">
        <v>144</v>
      </c>
      <c r="BE534" s="148">
        <f>IF(N534="základní",J534,0)</f>
        <v>0</v>
      </c>
      <c r="BF534" s="148">
        <f>IF(N534="snížená",J534,0)</f>
        <v>0</v>
      </c>
      <c r="BG534" s="148">
        <f>IF(N534="zákl. přenesená",J534,0)</f>
        <v>0</v>
      </c>
      <c r="BH534" s="148">
        <f>IF(N534="sníž. přenesená",J534,0)</f>
        <v>0</v>
      </c>
      <c r="BI534" s="148">
        <f>IF(N534="nulová",J534,0)</f>
        <v>0</v>
      </c>
      <c r="BJ534" s="19" t="s">
        <v>83</v>
      </c>
      <c r="BK534" s="148">
        <f>ROUND(I534*H534,2)</f>
        <v>0</v>
      </c>
      <c r="BL534" s="19" t="s">
        <v>218</v>
      </c>
      <c r="BM534" s="147" t="s">
        <v>652</v>
      </c>
    </row>
    <row r="535" spans="1:47" s="2" customFormat="1" ht="48.75">
      <c r="A535" s="31"/>
      <c r="B535" s="32"/>
      <c r="C535" s="31"/>
      <c r="D535" s="150" t="s">
        <v>158</v>
      </c>
      <c r="E535" s="31"/>
      <c r="F535" s="163" t="s">
        <v>653</v>
      </c>
      <c r="G535" s="31"/>
      <c r="H535" s="31"/>
      <c r="I535" s="279"/>
      <c r="J535" s="31"/>
      <c r="K535" s="31"/>
      <c r="L535" s="32"/>
      <c r="M535" s="164"/>
      <c r="N535" s="165"/>
      <c r="O535" s="52"/>
      <c r="P535" s="52"/>
      <c r="Q535" s="52"/>
      <c r="R535" s="52"/>
      <c r="S535" s="52"/>
      <c r="T535" s="53"/>
      <c r="U535" s="31"/>
      <c r="V535" s="31"/>
      <c r="W535" s="31"/>
      <c r="X535" s="31"/>
      <c r="Y535" s="31"/>
      <c r="Z535" s="31"/>
      <c r="AA535" s="31"/>
      <c r="AB535" s="31"/>
      <c r="AC535" s="31"/>
      <c r="AD535" s="31"/>
      <c r="AE535" s="31"/>
      <c r="AT535" s="19" t="s">
        <v>158</v>
      </c>
      <c r="AU535" s="19" t="s">
        <v>85</v>
      </c>
    </row>
    <row r="536" spans="2:51" s="13" customFormat="1" ht="12">
      <c r="B536" s="149"/>
      <c r="D536" s="150" t="s">
        <v>154</v>
      </c>
      <c r="E536" s="151" t="s">
        <v>3</v>
      </c>
      <c r="F536" s="152" t="s">
        <v>239</v>
      </c>
      <c r="H536" s="151" t="s">
        <v>3</v>
      </c>
      <c r="I536" s="282"/>
      <c r="L536" s="149"/>
      <c r="M536" s="153"/>
      <c r="N536" s="154"/>
      <c r="O536" s="154"/>
      <c r="P536" s="154"/>
      <c r="Q536" s="154"/>
      <c r="R536" s="154"/>
      <c r="S536" s="154"/>
      <c r="T536" s="155"/>
      <c r="AT536" s="151" t="s">
        <v>154</v>
      </c>
      <c r="AU536" s="151" t="s">
        <v>85</v>
      </c>
      <c r="AV536" s="13" t="s">
        <v>83</v>
      </c>
      <c r="AW536" s="13" t="s">
        <v>37</v>
      </c>
      <c r="AX536" s="13" t="s">
        <v>75</v>
      </c>
      <c r="AY536" s="151" t="s">
        <v>144</v>
      </c>
    </row>
    <row r="537" spans="2:51" s="14" customFormat="1" ht="12">
      <c r="B537" s="156"/>
      <c r="D537" s="150" t="s">
        <v>154</v>
      </c>
      <c r="E537" s="157" t="s">
        <v>3</v>
      </c>
      <c r="F537" s="158" t="s">
        <v>1914</v>
      </c>
      <c r="H537" s="159">
        <v>4</v>
      </c>
      <c r="I537" s="280"/>
      <c r="L537" s="156"/>
      <c r="M537" s="160"/>
      <c r="N537" s="161"/>
      <c r="O537" s="161"/>
      <c r="P537" s="161"/>
      <c r="Q537" s="161"/>
      <c r="R537" s="161"/>
      <c r="S537" s="161"/>
      <c r="T537" s="162"/>
      <c r="AT537" s="157" t="s">
        <v>154</v>
      </c>
      <c r="AU537" s="157" t="s">
        <v>85</v>
      </c>
      <c r="AV537" s="14" t="s">
        <v>85</v>
      </c>
      <c r="AW537" s="14" t="s">
        <v>37</v>
      </c>
      <c r="AX537" s="14" t="s">
        <v>75</v>
      </c>
      <c r="AY537" s="157" t="s">
        <v>144</v>
      </c>
    </row>
    <row r="538" spans="2:51" s="14" customFormat="1" ht="12">
      <c r="B538" s="156"/>
      <c r="D538" s="150" t="s">
        <v>154</v>
      </c>
      <c r="E538" s="157" t="s">
        <v>3</v>
      </c>
      <c r="F538" s="158" t="s">
        <v>1915</v>
      </c>
      <c r="H538" s="159">
        <v>2</v>
      </c>
      <c r="I538" s="280"/>
      <c r="L538" s="156"/>
      <c r="M538" s="160"/>
      <c r="N538" s="161"/>
      <c r="O538" s="161"/>
      <c r="P538" s="161"/>
      <c r="Q538" s="161"/>
      <c r="R538" s="161"/>
      <c r="S538" s="161"/>
      <c r="T538" s="162"/>
      <c r="AT538" s="157" t="s">
        <v>154</v>
      </c>
      <c r="AU538" s="157" t="s">
        <v>85</v>
      </c>
      <c r="AV538" s="14" t="s">
        <v>85</v>
      </c>
      <c r="AW538" s="14" t="s">
        <v>37</v>
      </c>
      <c r="AX538" s="14" t="s">
        <v>75</v>
      </c>
      <c r="AY538" s="157" t="s">
        <v>144</v>
      </c>
    </row>
    <row r="539" spans="2:51" s="15" customFormat="1" ht="12">
      <c r="B539" s="166"/>
      <c r="D539" s="150" t="s">
        <v>154</v>
      </c>
      <c r="E539" s="167" t="s">
        <v>3</v>
      </c>
      <c r="F539" s="168" t="s">
        <v>161</v>
      </c>
      <c r="H539" s="169">
        <v>6</v>
      </c>
      <c r="I539" s="284"/>
      <c r="L539" s="166"/>
      <c r="M539" s="170"/>
      <c r="N539" s="171"/>
      <c r="O539" s="171"/>
      <c r="P539" s="171"/>
      <c r="Q539" s="171"/>
      <c r="R539" s="171"/>
      <c r="S539" s="171"/>
      <c r="T539" s="172"/>
      <c r="AT539" s="167" t="s">
        <v>154</v>
      </c>
      <c r="AU539" s="167" t="s">
        <v>85</v>
      </c>
      <c r="AV539" s="15" t="s">
        <v>152</v>
      </c>
      <c r="AW539" s="15" t="s">
        <v>37</v>
      </c>
      <c r="AX539" s="15" t="s">
        <v>83</v>
      </c>
      <c r="AY539" s="167" t="s">
        <v>144</v>
      </c>
    </row>
    <row r="540" spans="1:65" s="2" customFormat="1" ht="14.45" customHeight="1">
      <c r="A540" s="31"/>
      <c r="B540" s="136"/>
      <c r="C540" s="173" t="s">
        <v>654</v>
      </c>
      <c r="D540" s="173" t="s">
        <v>174</v>
      </c>
      <c r="E540" s="174" t="s">
        <v>655</v>
      </c>
      <c r="F540" s="175" t="s">
        <v>656</v>
      </c>
      <c r="G540" s="176" t="s">
        <v>201</v>
      </c>
      <c r="H540" s="177">
        <f>H534</f>
        <v>6</v>
      </c>
      <c r="I540" s="281"/>
      <c r="J540" s="178">
        <f>ROUND(I540*H540,2)</f>
        <v>0</v>
      </c>
      <c r="K540" s="175" t="s">
        <v>151</v>
      </c>
      <c r="L540" s="179"/>
      <c r="M540" s="180" t="s">
        <v>3</v>
      </c>
      <c r="N540" s="181" t="s">
        <v>46</v>
      </c>
      <c r="O540" s="145">
        <v>0</v>
      </c>
      <c r="P540" s="145">
        <f>O540*H540</f>
        <v>0</v>
      </c>
      <c r="Q540" s="145">
        <v>0.00017</v>
      </c>
      <c r="R540" s="145">
        <f>Q540*H540</f>
        <v>0.00102</v>
      </c>
      <c r="S540" s="145">
        <v>0</v>
      </c>
      <c r="T540" s="146">
        <f>S540*H540</f>
        <v>0</v>
      </c>
      <c r="U540" s="31"/>
      <c r="V540" s="31"/>
      <c r="W540" s="31"/>
      <c r="X540" s="31"/>
      <c r="Y540" s="31"/>
      <c r="Z540" s="31"/>
      <c r="AA540" s="31"/>
      <c r="AB540" s="31"/>
      <c r="AC540" s="31"/>
      <c r="AD540" s="31"/>
      <c r="AE540" s="31"/>
      <c r="AR540" s="147" t="s">
        <v>248</v>
      </c>
      <c r="AT540" s="147" t="s">
        <v>174</v>
      </c>
      <c r="AU540" s="147" t="s">
        <v>85</v>
      </c>
      <c r="AY540" s="19" t="s">
        <v>144</v>
      </c>
      <c r="BE540" s="148">
        <f>IF(N540="základní",J540,0)</f>
        <v>0</v>
      </c>
      <c r="BF540" s="148">
        <f>IF(N540="snížená",J540,0)</f>
        <v>0</v>
      </c>
      <c r="BG540" s="148">
        <f>IF(N540="zákl. přenesená",J540,0)</f>
        <v>0</v>
      </c>
      <c r="BH540" s="148">
        <f>IF(N540="sníž. přenesená",J540,0)</f>
        <v>0</v>
      </c>
      <c r="BI540" s="148">
        <f>IF(N540="nulová",J540,0)</f>
        <v>0</v>
      </c>
      <c r="BJ540" s="19" t="s">
        <v>83</v>
      </c>
      <c r="BK540" s="148">
        <f>ROUND(I540*H540,2)</f>
        <v>0</v>
      </c>
      <c r="BL540" s="19" t="s">
        <v>218</v>
      </c>
      <c r="BM540" s="147" t="s">
        <v>657</v>
      </c>
    </row>
    <row r="541" spans="1:65" s="2" customFormat="1" ht="24.2" customHeight="1">
      <c r="A541" s="31"/>
      <c r="B541" s="136"/>
      <c r="C541" s="137" t="s">
        <v>667</v>
      </c>
      <c r="D541" s="137" t="s">
        <v>147</v>
      </c>
      <c r="E541" s="138" t="s">
        <v>668</v>
      </c>
      <c r="F541" s="139" t="s">
        <v>669</v>
      </c>
      <c r="G541" s="140" t="s">
        <v>183</v>
      </c>
      <c r="H541" s="141">
        <v>279.73</v>
      </c>
      <c r="I541" s="278"/>
      <c r="J541" s="142">
        <f>ROUND(I541*H541,2)</f>
        <v>0</v>
      </c>
      <c r="K541" s="139" t="s">
        <v>157</v>
      </c>
      <c r="L541" s="32"/>
      <c r="M541" s="143" t="s">
        <v>3</v>
      </c>
      <c r="N541" s="144" t="s">
        <v>46</v>
      </c>
      <c r="O541" s="145">
        <v>0.105</v>
      </c>
      <c r="P541" s="145">
        <f>O541*H541</f>
        <v>29.371650000000002</v>
      </c>
      <c r="Q541" s="145">
        <v>0</v>
      </c>
      <c r="R541" s="145">
        <f>Q541*H541</f>
        <v>0</v>
      </c>
      <c r="S541" s="145">
        <v>0.0025</v>
      </c>
      <c r="T541" s="146">
        <f>S541*H541</f>
        <v>0.6993250000000001</v>
      </c>
      <c r="U541" s="31"/>
      <c r="V541" s="31"/>
      <c r="W541" s="31"/>
      <c r="X541" s="31"/>
      <c r="Y541" s="31"/>
      <c r="Z541" s="31"/>
      <c r="AA541" s="31"/>
      <c r="AB541" s="31"/>
      <c r="AC541" s="31"/>
      <c r="AD541" s="31"/>
      <c r="AE541" s="31"/>
      <c r="AR541" s="147" t="s">
        <v>218</v>
      </c>
      <c r="AT541" s="147" t="s">
        <v>147</v>
      </c>
      <c r="AU541" s="147" t="s">
        <v>85</v>
      </c>
      <c r="AY541" s="19" t="s">
        <v>144</v>
      </c>
      <c r="BE541" s="148">
        <f>IF(N541="základní",J541,0)</f>
        <v>0</v>
      </c>
      <c r="BF541" s="148">
        <f>IF(N541="snížená",J541,0)</f>
        <v>0</v>
      </c>
      <c r="BG541" s="148">
        <f>IF(N541="zákl. přenesená",J541,0)</f>
        <v>0</v>
      </c>
      <c r="BH541" s="148">
        <f>IF(N541="sníž. přenesená",J541,0)</f>
        <v>0</v>
      </c>
      <c r="BI541" s="148">
        <f>IF(N541="nulová",J541,0)</f>
        <v>0</v>
      </c>
      <c r="BJ541" s="19" t="s">
        <v>83</v>
      </c>
      <c r="BK541" s="148">
        <f>ROUND(I541*H541,2)</f>
        <v>0</v>
      </c>
      <c r="BL541" s="19" t="s">
        <v>218</v>
      </c>
      <c r="BM541" s="147" t="s">
        <v>670</v>
      </c>
    </row>
    <row r="542" spans="1:47" s="2" customFormat="1" ht="19.5">
      <c r="A542" s="31"/>
      <c r="B542" s="32"/>
      <c r="C542" s="31"/>
      <c r="D542" s="150" t="s">
        <v>270</v>
      </c>
      <c r="E542" s="31"/>
      <c r="F542" s="163" t="s">
        <v>671</v>
      </c>
      <c r="G542" s="31"/>
      <c r="H542" s="31"/>
      <c r="I542" s="279"/>
      <c r="J542" s="31"/>
      <c r="K542" s="31"/>
      <c r="L542" s="32"/>
      <c r="M542" s="164"/>
      <c r="N542" s="165"/>
      <c r="O542" s="52"/>
      <c r="P542" s="52"/>
      <c r="Q542" s="52"/>
      <c r="R542" s="52"/>
      <c r="S542" s="52"/>
      <c r="T542" s="53"/>
      <c r="U542" s="31"/>
      <c r="V542" s="31"/>
      <c r="W542" s="31"/>
      <c r="X542" s="31"/>
      <c r="Y542" s="31"/>
      <c r="Z542" s="31"/>
      <c r="AA542" s="31"/>
      <c r="AB542" s="31"/>
      <c r="AC542" s="31"/>
      <c r="AD542" s="31"/>
      <c r="AE542" s="31"/>
      <c r="AT542" s="19" t="s">
        <v>270</v>
      </c>
      <c r="AU542" s="19" t="s">
        <v>85</v>
      </c>
    </row>
    <row r="543" spans="2:51" s="13" customFormat="1" ht="22.5">
      <c r="B543" s="149"/>
      <c r="D543" s="150" t="s">
        <v>154</v>
      </c>
      <c r="E543" s="151" t="s">
        <v>3</v>
      </c>
      <c r="F543" s="152" t="s">
        <v>232</v>
      </c>
      <c r="H543" s="151" t="s">
        <v>3</v>
      </c>
      <c r="I543" s="282"/>
      <c r="L543" s="149"/>
      <c r="M543" s="153"/>
      <c r="N543" s="154"/>
      <c r="O543" s="154"/>
      <c r="P543" s="154"/>
      <c r="Q543" s="154"/>
      <c r="R543" s="154"/>
      <c r="S543" s="154"/>
      <c r="T543" s="155"/>
      <c r="AT543" s="151" t="s">
        <v>154</v>
      </c>
      <c r="AU543" s="151" t="s">
        <v>85</v>
      </c>
      <c r="AV543" s="13" t="s">
        <v>83</v>
      </c>
      <c r="AW543" s="13" t="s">
        <v>37</v>
      </c>
      <c r="AX543" s="13" t="s">
        <v>75</v>
      </c>
      <c r="AY543" s="151" t="s">
        <v>144</v>
      </c>
    </row>
    <row r="544" spans="2:51" s="13" customFormat="1" ht="12">
      <c r="B544" s="149"/>
      <c r="D544" s="150" t="s">
        <v>154</v>
      </c>
      <c r="E544" s="151" t="s">
        <v>3</v>
      </c>
      <c r="F544" s="152" t="s">
        <v>166</v>
      </c>
      <c r="H544" s="151" t="s">
        <v>3</v>
      </c>
      <c r="I544" s="282"/>
      <c r="L544" s="149"/>
      <c r="M544" s="153"/>
      <c r="N544" s="154"/>
      <c r="O544" s="154"/>
      <c r="P544" s="154"/>
      <c r="Q544" s="154"/>
      <c r="R544" s="154"/>
      <c r="S544" s="154"/>
      <c r="T544" s="155"/>
      <c r="AT544" s="151" t="s">
        <v>154</v>
      </c>
      <c r="AU544" s="151" t="s">
        <v>85</v>
      </c>
      <c r="AV544" s="13" t="s">
        <v>83</v>
      </c>
      <c r="AW544" s="13" t="s">
        <v>37</v>
      </c>
      <c r="AX544" s="13" t="s">
        <v>75</v>
      </c>
      <c r="AY544" s="151" t="s">
        <v>144</v>
      </c>
    </row>
    <row r="545" spans="2:51" s="14" customFormat="1" ht="12">
      <c r="B545" s="156"/>
      <c r="D545" s="150" t="s">
        <v>154</v>
      </c>
      <c r="E545" s="157" t="s">
        <v>3</v>
      </c>
      <c r="F545" s="158" t="s">
        <v>672</v>
      </c>
      <c r="H545" s="159">
        <v>106.52</v>
      </c>
      <c r="I545" s="280"/>
      <c r="L545" s="156"/>
      <c r="M545" s="160"/>
      <c r="N545" s="161"/>
      <c r="O545" s="161"/>
      <c r="P545" s="161"/>
      <c r="Q545" s="161"/>
      <c r="R545" s="161"/>
      <c r="S545" s="161"/>
      <c r="T545" s="162"/>
      <c r="AT545" s="157" t="s">
        <v>154</v>
      </c>
      <c r="AU545" s="157" t="s">
        <v>85</v>
      </c>
      <c r="AV545" s="14" t="s">
        <v>85</v>
      </c>
      <c r="AW545" s="14" t="s">
        <v>37</v>
      </c>
      <c r="AX545" s="14" t="s">
        <v>75</v>
      </c>
      <c r="AY545" s="157" t="s">
        <v>144</v>
      </c>
    </row>
    <row r="546" spans="2:51" s="13" customFormat="1" ht="12">
      <c r="B546" s="149"/>
      <c r="D546" s="150" t="s">
        <v>154</v>
      </c>
      <c r="E546" s="151" t="s">
        <v>3</v>
      </c>
      <c r="F546" s="152" t="s">
        <v>167</v>
      </c>
      <c r="H546" s="151" t="s">
        <v>3</v>
      </c>
      <c r="I546" s="282"/>
      <c r="L546" s="149"/>
      <c r="M546" s="153"/>
      <c r="N546" s="154"/>
      <c r="O546" s="154"/>
      <c r="P546" s="154"/>
      <c r="Q546" s="154"/>
      <c r="R546" s="154"/>
      <c r="S546" s="154"/>
      <c r="T546" s="155"/>
      <c r="AT546" s="151" t="s">
        <v>154</v>
      </c>
      <c r="AU546" s="151" t="s">
        <v>85</v>
      </c>
      <c r="AV546" s="13" t="s">
        <v>83</v>
      </c>
      <c r="AW546" s="13" t="s">
        <v>37</v>
      </c>
      <c r="AX546" s="13" t="s">
        <v>75</v>
      </c>
      <c r="AY546" s="151" t="s">
        <v>144</v>
      </c>
    </row>
    <row r="547" spans="2:51" s="14" customFormat="1" ht="12">
      <c r="B547" s="156"/>
      <c r="D547" s="150" t="s">
        <v>154</v>
      </c>
      <c r="E547" s="157" t="s">
        <v>3</v>
      </c>
      <c r="F547" s="158" t="s">
        <v>673</v>
      </c>
      <c r="H547" s="159">
        <v>173.21</v>
      </c>
      <c r="I547" s="280"/>
      <c r="L547" s="156"/>
      <c r="M547" s="160"/>
      <c r="N547" s="161"/>
      <c r="O547" s="161"/>
      <c r="P547" s="161"/>
      <c r="Q547" s="161"/>
      <c r="R547" s="161"/>
      <c r="S547" s="161"/>
      <c r="T547" s="162"/>
      <c r="AT547" s="157" t="s">
        <v>154</v>
      </c>
      <c r="AU547" s="157" t="s">
        <v>85</v>
      </c>
      <c r="AV547" s="14" t="s">
        <v>85</v>
      </c>
      <c r="AW547" s="14" t="s">
        <v>37</v>
      </c>
      <c r="AX547" s="14" t="s">
        <v>75</v>
      </c>
      <c r="AY547" s="157" t="s">
        <v>144</v>
      </c>
    </row>
    <row r="548" spans="2:51" s="15" customFormat="1" ht="12">
      <c r="B548" s="166"/>
      <c r="D548" s="150" t="s">
        <v>154</v>
      </c>
      <c r="E548" s="167" t="s">
        <v>3</v>
      </c>
      <c r="F548" s="168" t="s">
        <v>161</v>
      </c>
      <c r="H548" s="169">
        <v>279.73</v>
      </c>
      <c r="I548" s="284"/>
      <c r="L548" s="166"/>
      <c r="M548" s="170"/>
      <c r="N548" s="171"/>
      <c r="O548" s="171"/>
      <c r="P548" s="171"/>
      <c r="Q548" s="171"/>
      <c r="R548" s="171"/>
      <c r="S548" s="171"/>
      <c r="T548" s="172"/>
      <c r="AT548" s="167" t="s">
        <v>154</v>
      </c>
      <c r="AU548" s="167" t="s">
        <v>85</v>
      </c>
      <c r="AV548" s="15" t="s">
        <v>152</v>
      </c>
      <c r="AW548" s="15" t="s">
        <v>37</v>
      </c>
      <c r="AX548" s="15" t="s">
        <v>83</v>
      </c>
      <c r="AY548" s="167" t="s">
        <v>144</v>
      </c>
    </row>
    <row r="549" spans="1:65" s="2" customFormat="1" ht="37.9" customHeight="1">
      <c r="A549" s="31"/>
      <c r="B549" s="136"/>
      <c r="C549" s="137" t="s">
        <v>658</v>
      </c>
      <c r="D549" s="137" t="s">
        <v>147</v>
      </c>
      <c r="E549" s="138" t="s">
        <v>659</v>
      </c>
      <c r="F549" s="139" t="s">
        <v>1776</v>
      </c>
      <c r="G549" s="140" t="s">
        <v>387</v>
      </c>
      <c r="H549" s="141">
        <f>SUM(J512:J548)/100</f>
        <v>0</v>
      </c>
      <c r="I549" s="278"/>
      <c r="J549" s="142">
        <f>ROUND(I549*H549,2)</f>
        <v>0</v>
      </c>
      <c r="K549" s="139" t="s">
        <v>157</v>
      </c>
      <c r="L549" s="32"/>
      <c r="M549" s="143" t="s">
        <v>3</v>
      </c>
      <c r="N549" s="144" t="s">
        <v>46</v>
      </c>
      <c r="O549" s="145">
        <v>0</v>
      </c>
      <c r="P549" s="145">
        <f>O549*H549</f>
        <v>0</v>
      </c>
      <c r="Q549" s="145">
        <v>0</v>
      </c>
      <c r="R549" s="145">
        <f>Q549*H549</f>
        <v>0</v>
      </c>
      <c r="S549" s="145">
        <v>0</v>
      </c>
      <c r="T549" s="146">
        <f>S549*H549</f>
        <v>0</v>
      </c>
      <c r="U549" s="31"/>
      <c r="V549" s="31"/>
      <c r="W549" s="31"/>
      <c r="X549" s="31"/>
      <c r="Y549" s="31"/>
      <c r="Z549" s="31"/>
      <c r="AA549" s="31"/>
      <c r="AB549" s="31"/>
      <c r="AC549" s="31"/>
      <c r="AD549" s="31"/>
      <c r="AE549" s="31"/>
      <c r="AR549" s="147" t="s">
        <v>218</v>
      </c>
      <c r="AT549" s="147" t="s">
        <v>147</v>
      </c>
      <c r="AU549" s="147" t="s">
        <v>85</v>
      </c>
      <c r="AY549" s="19" t="s">
        <v>144</v>
      </c>
      <c r="BE549" s="148">
        <f>IF(N549="základní",J549,0)</f>
        <v>0</v>
      </c>
      <c r="BF549" s="148">
        <f>IF(N549="snížená",J549,0)</f>
        <v>0</v>
      </c>
      <c r="BG549" s="148">
        <f>IF(N549="zákl. přenesená",J549,0)</f>
        <v>0</v>
      </c>
      <c r="BH549" s="148">
        <f>IF(N549="sníž. přenesená",J549,0)</f>
        <v>0</v>
      </c>
      <c r="BI549" s="148">
        <f>IF(N549="nulová",J549,0)</f>
        <v>0</v>
      </c>
      <c r="BJ549" s="19" t="s">
        <v>83</v>
      </c>
      <c r="BK549" s="148">
        <f>ROUND(I549*H549,2)</f>
        <v>0</v>
      </c>
      <c r="BL549" s="19" t="s">
        <v>218</v>
      </c>
      <c r="BM549" s="147" t="s">
        <v>660</v>
      </c>
    </row>
    <row r="550" spans="1:47" s="2" customFormat="1" ht="126.75">
      <c r="A550" s="31"/>
      <c r="B550" s="32"/>
      <c r="C550" s="31"/>
      <c r="D550" s="150" t="s">
        <v>158</v>
      </c>
      <c r="E550" s="31"/>
      <c r="F550" s="163" t="s">
        <v>661</v>
      </c>
      <c r="G550" s="31"/>
      <c r="H550" s="31"/>
      <c r="I550" s="279"/>
      <c r="J550" s="31"/>
      <c r="K550" s="31"/>
      <c r="L550" s="32"/>
      <c r="M550" s="164"/>
      <c r="N550" s="165"/>
      <c r="O550" s="52"/>
      <c r="P550" s="52"/>
      <c r="Q550" s="52"/>
      <c r="R550" s="52"/>
      <c r="S550" s="52"/>
      <c r="T550" s="53"/>
      <c r="U550" s="31"/>
      <c r="V550" s="31"/>
      <c r="W550" s="31"/>
      <c r="X550" s="31"/>
      <c r="Y550" s="31"/>
      <c r="Z550" s="31"/>
      <c r="AA550" s="31"/>
      <c r="AB550" s="31"/>
      <c r="AC550" s="31"/>
      <c r="AD550" s="31"/>
      <c r="AE550" s="31"/>
      <c r="AT550" s="19" t="s">
        <v>158</v>
      </c>
      <c r="AU550" s="19" t="s">
        <v>85</v>
      </c>
    </row>
    <row r="551" spans="1:65" s="2" customFormat="1" ht="49.15" customHeight="1">
      <c r="A551" s="31"/>
      <c r="B551" s="136"/>
      <c r="C551" s="137" t="s">
        <v>662</v>
      </c>
      <c r="D551" s="137" t="s">
        <v>147</v>
      </c>
      <c r="E551" s="138" t="s">
        <v>663</v>
      </c>
      <c r="F551" s="139" t="s">
        <v>1777</v>
      </c>
      <c r="G551" s="140" t="s">
        <v>387</v>
      </c>
      <c r="H551" s="141">
        <f>H549</f>
        <v>0</v>
      </c>
      <c r="I551" s="278"/>
      <c r="J551" s="142">
        <f>ROUND(I551*H551,2)</f>
        <v>0</v>
      </c>
      <c r="K551" s="139" t="s">
        <v>157</v>
      </c>
      <c r="L551" s="32"/>
      <c r="M551" s="143" t="s">
        <v>3</v>
      </c>
      <c r="N551" s="144" t="s">
        <v>46</v>
      </c>
      <c r="O551" s="145">
        <v>0</v>
      </c>
      <c r="P551" s="145">
        <f>O551*H551</f>
        <v>0</v>
      </c>
      <c r="Q551" s="145">
        <v>0</v>
      </c>
      <c r="R551" s="145">
        <f>Q551*H551</f>
        <v>0</v>
      </c>
      <c r="S551" s="145">
        <v>0</v>
      </c>
      <c r="T551" s="146">
        <f>S551*H551</f>
        <v>0</v>
      </c>
      <c r="U551" s="31"/>
      <c r="V551" s="31"/>
      <c r="W551" s="31"/>
      <c r="X551" s="31"/>
      <c r="Y551" s="31"/>
      <c r="Z551" s="31"/>
      <c r="AA551" s="31"/>
      <c r="AB551" s="31"/>
      <c r="AC551" s="31"/>
      <c r="AD551" s="31"/>
      <c r="AE551" s="31"/>
      <c r="AR551" s="147" t="s">
        <v>218</v>
      </c>
      <c r="AT551" s="147" t="s">
        <v>147</v>
      </c>
      <c r="AU551" s="147" t="s">
        <v>85</v>
      </c>
      <c r="AY551" s="19" t="s">
        <v>144</v>
      </c>
      <c r="BE551" s="148">
        <f>IF(N551="základní",J551,0)</f>
        <v>0</v>
      </c>
      <c r="BF551" s="148">
        <f>IF(N551="snížená",J551,0)</f>
        <v>0</v>
      </c>
      <c r="BG551" s="148">
        <f>IF(N551="zákl. přenesená",J551,0)</f>
        <v>0</v>
      </c>
      <c r="BH551" s="148">
        <f>IF(N551="sníž. přenesená",J551,0)</f>
        <v>0</v>
      </c>
      <c r="BI551" s="148">
        <f>IF(N551="nulová",J551,0)</f>
        <v>0</v>
      </c>
      <c r="BJ551" s="19" t="s">
        <v>83</v>
      </c>
      <c r="BK551" s="148">
        <f>ROUND(I551*H551,2)</f>
        <v>0</v>
      </c>
      <c r="BL551" s="19" t="s">
        <v>218</v>
      </c>
      <c r="BM551" s="147" t="s">
        <v>664</v>
      </c>
    </row>
    <row r="552" spans="1:47" s="2" customFormat="1" ht="126.75">
      <c r="A552" s="31"/>
      <c r="B552" s="32"/>
      <c r="C552" s="31"/>
      <c r="D552" s="150" t="s">
        <v>158</v>
      </c>
      <c r="E552" s="31"/>
      <c r="F552" s="163" t="s">
        <v>661</v>
      </c>
      <c r="G552" s="31"/>
      <c r="H552" s="31"/>
      <c r="I552" s="279"/>
      <c r="J552" s="31"/>
      <c r="K552" s="31"/>
      <c r="L552" s="32"/>
      <c r="M552" s="164"/>
      <c r="N552" s="165"/>
      <c r="O552" s="52"/>
      <c r="P552" s="52"/>
      <c r="Q552" s="52"/>
      <c r="R552" s="52"/>
      <c r="S552" s="52"/>
      <c r="T552" s="53"/>
      <c r="U552" s="31"/>
      <c r="V552" s="31"/>
      <c r="W552" s="31"/>
      <c r="X552" s="31"/>
      <c r="Y552" s="31"/>
      <c r="Z552" s="31"/>
      <c r="AA552" s="31"/>
      <c r="AB552" s="31"/>
      <c r="AC552" s="31"/>
      <c r="AD552" s="31"/>
      <c r="AE552" s="31"/>
      <c r="AT552" s="19" t="s">
        <v>158</v>
      </c>
      <c r="AU552" s="19" t="s">
        <v>85</v>
      </c>
    </row>
    <row r="553" spans="2:63" s="12" customFormat="1" ht="22.9" customHeight="1">
      <c r="B553" s="124"/>
      <c r="D553" s="125" t="s">
        <v>74</v>
      </c>
      <c r="E553" s="134" t="s">
        <v>674</v>
      </c>
      <c r="F553" s="134" t="s">
        <v>675</v>
      </c>
      <c r="I553" s="285"/>
      <c r="J553" s="135">
        <f>BK553</f>
        <v>0</v>
      </c>
      <c r="L553" s="124"/>
      <c r="M553" s="128"/>
      <c r="N553" s="129"/>
      <c r="O553" s="129"/>
      <c r="P553" s="130">
        <f>SUM(P554:P571)</f>
        <v>46.179230999999994</v>
      </c>
      <c r="Q553" s="129"/>
      <c r="R553" s="130">
        <f>SUM(R554:R571)</f>
        <v>0.5931659699999999</v>
      </c>
      <c r="S553" s="129"/>
      <c r="T553" s="131">
        <f>SUM(T554:T571)</f>
        <v>0</v>
      </c>
      <c r="AR553" s="125" t="s">
        <v>85</v>
      </c>
      <c r="AT553" s="132" t="s">
        <v>74</v>
      </c>
      <c r="AU553" s="132" t="s">
        <v>83</v>
      </c>
      <c r="AY553" s="125" t="s">
        <v>144</v>
      </c>
      <c r="BK553" s="133">
        <f>SUM(BK554:BK571)</f>
        <v>0</v>
      </c>
    </row>
    <row r="554" spans="1:65" s="2" customFormat="1" ht="14.45" customHeight="1">
      <c r="A554" s="31"/>
      <c r="B554" s="136"/>
      <c r="C554" s="137" t="s">
        <v>676</v>
      </c>
      <c r="D554" s="137" t="s">
        <v>147</v>
      </c>
      <c r="E554" s="138" t="s">
        <v>677</v>
      </c>
      <c r="F554" s="139" t="s">
        <v>678</v>
      </c>
      <c r="G554" s="140" t="s">
        <v>183</v>
      </c>
      <c r="H554" s="141">
        <v>38.13</v>
      </c>
      <c r="I554" s="278"/>
      <c r="J554" s="142">
        <f>ROUND(I554*H554,2)</f>
        <v>0</v>
      </c>
      <c r="K554" s="139" t="s">
        <v>157</v>
      </c>
      <c r="L554" s="32"/>
      <c r="M554" s="143" t="s">
        <v>3</v>
      </c>
      <c r="N554" s="144" t="s">
        <v>46</v>
      </c>
      <c r="O554" s="145">
        <v>0.032</v>
      </c>
      <c r="P554" s="145">
        <f>O554*H554</f>
        <v>1.2201600000000001</v>
      </c>
      <c r="Q554" s="145">
        <v>0</v>
      </c>
      <c r="R554" s="145">
        <f>Q554*H554</f>
        <v>0</v>
      </c>
      <c r="S554" s="145">
        <v>0</v>
      </c>
      <c r="T554" s="146">
        <f>S554*H554</f>
        <v>0</v>
      </c>
      <c r="U554" s="31"/>
      <c r="V554" s="31"/>
      <c r="W554" s="31"/>
      <c r="X554" s="31"/>
      <c r="Y554" s="31"/>
      <c r="Z554" s="31"/>
      <c r="AA554" s="31"/>
      <c r="AB554" s="31"/>
      <c r="AC554" s="31"/>
      <c r="AD554" s="31"/>
      <c r="AE554" s="31"/>
      <c r="AR554" s="147" t="s">
        <v>218</v>
      </c>
      <c r="AT554" s="147" t="s">
        <v>147</v>
      </c>
      <c r="AU554" s="147" t="s">
        <v>85</v>
      </c>
      <c r="AY554" s="19" t="s">
        <v>144</v>
      </c>
      <c r="BE554" s="148">
        <f>IF(N554="základní",J554,0)</f>
        <v>0</v>
      </c>
      <c r="BF554" s="148">
        <f>IF(N554="snížená",J554,0)</f>
        <v>0</v>
      </c>
      <c r="BG554" s="148">
        <f>IF(N554="zákl. přenesená",J554,0)</f>
        <v>0</v>
      </c>
      <c r="BH554" s="148">
        <f>IF(N554="sníž. přenesená",J554,0)</f>
        <v>0</v>
      </c>
      <c r="BI554" s="148">
        <f>IF(N554="nulová",J554,0)</f>
        <v>0</v>
      </c>
      <c r="BJ554" s="19" t="s">
        <v>83</v>
      </c>
      <c r="BK554" s="148">
        <f>ROUND(I554*H554,2)</f>
        <v>0</v>
      </c>
      <c r="BL554" s="19" t="s">
        <v>218</v>
      </c>
      <c r="BM554" s="147" t="s">
        <v>679</v>
      </c>
    </row>
    <row r="555" spans="2:51" s="13" customFormat="1" ht="12">
      <c r="B555" s="149"/>
      <c r="D555" s="150" t="s">
        <v>154</v>
      </c>
      <c r="E555" s="151" t="s">
        <v>3</v>
      </c>
      <c r="F555" s="152" t="s">
        <v>155</v>
      </c>
      <c r="H555" s="151" t="s">
        <v>3</v>
      </c>
      <c r="I555" s="282"/>
      <c r="L555" s="149"/>
      <c r="M555" s="153"/>
      <c r="N555" s="154"/>
      <c r="O555" s="154"/>
      <c r="P555" s="154"/>
      <c r="Q555" s="154"/>
      <c r="R555" s="154"/>
      <c r="S555" s="154"/>
      <c r="T555" s="155"/>
      <c r="AT555" s="151" t="s">
        <v>154</v>
      </c>
      <c r="AU555" s="151" t="s">
        <v>85</v>
      </c>
      <c r="AV555" s="13" t="s">
        <v>83</v>
      </c>
      <c r="AW555" s="13" t="s">
        <v>37</v>
      </c>
      <c r="AX555" s="13" t="s">
        <v>75</v>
      </c>
      <c r="AY555" s="151" t="s">
        <v>144</v>
      </c>
    </row>
    <row r="556" spans="2:51" s="13" customFormat="1" ht="12">
      <c r="B556" s="149"/>
      <c r="D556" s="150" t="s">
        <v>154</v>
      </c>
      <c r="E556" s="151" t="s">
        <v>3</v>
      </c>
      <c r="F556" s="152" t="s">
        <v>166</v>
      </c>
      <c r="H556" s="151" t="s">
        <v>3</v>
      </c>
      <c r="I556" s="282"/>
      <c r="L556" s="149"/>
      <c r="M556" s="153"/>
      <c r="N556" s="154"/>
      <c r="O556" s="154"/>
      <c r="P556" s="154"/>
      <c r="Q556" s="154"/>
      <c r="R556" s="154"/>
      <c r="S556" s="154"/>
      <c r="T556" s="155"/>
      <c r="AT556" s="151" t="s">
        <v>154</v>
      </c>
      <c r="AU556" s="151" t="s">
        <v>85</v>
      </c>
      <c r="AV556" s="13" t="s">
        <v>83</v>
      </c>
      <c r="AW556" s="13" t="s">
        <v>37</v>
      </c>
      <c r="AX556" s="13" t="s">
        <v>75</v>
      </c>
      <c r="AY556" s="151" t="s">
        <v>144</v>
      </c>
    </row>
    <row r="557" spans="2:51" s="14" customFormat="1" ht="12">
      <c r="B557" s="156"/>
      <c r="D557" s="150" t="s">
        <v>154</v>
      </c>
      <c r="E557" s="157" t="s">
        <v>3</v>
      </c>
      <c r="F557" s="158" t="s">
        <v>284</v>
      </c>
      <c r="H557" s="159">
        <v>21.25</v>
      </c>
      <c r="I557" s="280"/>
      <c r="L557" s="156"/>
      <c r="M557" s="160"/>
      <c r="N557" s="161"/>
      <c r="O557" s="161"/>
      <c r="P557" s="161"/>
      <c r="Q557" s="161"/>
      <c r="R557" s="161"/>
      <c r="S557" s="161"/>
      <c r="T557" s="162"/>
      <c r="AT557" s="157" t="s">
        <v>154</v>
      </c>
      <c r="AU557" s="157" t="s">
        <v>85</v>
      </c>
      <c r="AV557" s="14" t="s">
        <v>85</v>
      </c>
      <c r="AW557" s="14" t="s">
        <v>37</v>
      </c>
      <c r="AX557" s="14" t="s">
        <v>75</v>
      </c>
      <c r="AY557" s="157" t="s">
        <v>144</v>
      </c>
    </row>
    <row r="558" spans="2:51" s="14" customFormat="1" ht="12">
      <c r="B558" s="156"/>
      <c r="D558" s="150" t="s">
        <v>154</v>
      </c>
      <c r="E558" s="157" t="s">
        <v>3</v>
      </c>
      <c r="F558" s="158" t="s">
        <v>285</v>
      </c>
      <c r="H558" s="159">
        <v>16.88</v>
      </c>
      <c r="I558" s="280"/>
      <c r="L558" s="156"/>
      <c r="M558" s="160"/>
      <c r="N558" s="161"/>
      <c r="O558" s="161"/>
      <c r="P558" s="161"/>
      <c r="Q558" s="161"/>
      <c r="R558" s="161"/>
      <c r="S558" s="161"/>
      <c r="T558" s="162"/>
      <c r="AT558" s="157" t="s">
        <v>154</v>
      </c>
      <c r="AU558" s="157" t="s">
        <v>85</v>
      </c>
      <c r="AV558" s="14" t="s">
        <v>85</v>
      </c>
      <c r="AW558" s="14" t="s">
        <v>37</v>
      </c>
      <c r="AX558" s="14" t="s">
        <v>75</v>
      </c>
      <c r="AY558" s="157" t="s">
        <v>144</v>
      </c>
    </row>
    <row r="559" spans="2:51" s="15" customFormat="1" ht="12">
      <c r="B559" s="166"/>
      <c r="D559" s="150" t="s">
        <v>154</v>
      </c>
      <c r="E559" s="167" t="s">
        <v>3</v>
      </c>
      <c r="F559" s="168" t="s">
        <v>161</v>
      </c>
      <c r="H559" s="169">
        <v>38.129999999999995</v>
      </c>
      <c r="I559" s="284"/>
      <c r="L559" s="166"/>
      <c r="M559" s="170"/>
      <c r="N559" s="171"/>
      <c r="O559" s="171"/>
      <c r="P559" s="171"/>
      <c r="Q559" s="171"/>
      <c r="R559" s="171"/>
      <c r="S559" s="171"/>
      <c r="T559" s="172"/>
      <c r="AT559" s="167" t="s">
        <v>154</v>
      </c>
      <c r="AU559" s="167" t="s">
        <v>85</v>
      </c>
      <c r="AV559" s="15" t="s">
        <v>152</v>
      </c>
      <c r="AW559" s="15" t="s">
        <v>37</v>
      </c>
      <c r="AX559" s="15" t="s">
        <v>83</v>
      </c>
      <c r="AY559" s="167" t="s">
        <v>144</v>
      </c>
    </row>
    <row r="560" spans="1:65" s="2" customFormat="1" ht="24.2" customHeight="1">
      <c r="A560" s="31"/>
      <c r="B560" s="136"/>
      <c r="C560" s="137" t="s">
        <v>680</v>
      </c>
      <c r="D560" s="137" t="s">
        <v>147</v>
      </c>
      <c r="E560" s="138" t="s">
        <v>681</v>
      </c>
      <c r="F560" s="139" t="s">
        <v>682</v>
      </c>
      <c r="G560" s="140" t="s">
        <v>183</v>
      </c>
      <c r="H560" s="141">
        <v>38.13</v>
      </c>
      <c r="I560" s="278"/>
      <c r="J560" s="142">
        <f>ROUND(I560*H560,2)</f>
        <v>0</v>
      </c>
      <c r="K560" s="139" t="s">
        <v>157</v>
      </c>
      <c r="L560" s="32"/>
      <c r="M560" s="143" t="s">
        <v>3</v>
      </c>
      <c r="N560" s="144" t="s">
        <v>46</v>
      </c>
      <c r="O560" s="145">
        <v>0.269</v>
      </c>
      <c r="P560" s="145">
        <f>O560*H560</f>
        <v>10.25697</v>
      </c>
      <c r="Q560" s="145">
        <v>0.009</v>
      </c>
      <c r="R560" s="145">
        <f>Q560*H560</f>
        <v>0.34317</v>
      </c>
      <c r="S560" s="145">
        <v>0</v>
      </c>
      <c r="T560" s="146">
        <f>S560*H560</f>
        <v>0</v>
      </c>
      <c r="U560" s="31"/>
      <c r="V560" s="31"/>
      <c r="W560" s="31"/>
      <c r="X560" s="31"/>
      <c r="Y560" s="31"/>
      <c r="Z560" s="31"/>
      <c r="AA560" s="31"/>
      <c r="AB560" s="31"/>
      <c r="AC560" s="31"/>
      <c r="AD560" s="31"/>
      <c r="AE560" s="31"/>
      <c r="AR560" s="147" t="s">
        <v>218</v>
      </c>
      <c r="AT560" s="147" t="s">
        <v>147</v>
      </c>
      <c r="AU560" s="147" t="s">
        <v>85</v>
      </c>
      <c r="AY560" s="19" t="s">
        <v>144</v>
      </c>
      <c r="BE560" s="148">
        <f>IF(N560="základní",J560,0)</f>
        <v>0</v>
      </c>
      <c r="BF560" s="148">
        <f>IF(N560="snížená",J560,0)</f>
        <v>0</v>
      </c>
      <c r="BG560" s="148">
        <f>IF(N560="zákl. přenesená",J560,0)</f>
        <v>0</v>
      </c>
      <c r="BH560" s="148">
        <f>IF(N560="sníž. přenesená",J560,0)</f>
        <v>0</v>
      </c>
      <c r="BI560" s="148">
        <f>IF(N560="nulová",J560,0)</f>
        <v>0</v>
      </c>
      <c r="BJ560" s="19" t="s">
        <v>83</v>
      </c>
      <c r="BK560" s="148">
        <f>ROUND(I560*H560,2)</f>
        <v>0</v>
      </c>
      <c r="BL560" s="19" t="s">
        <v>218</v>
      </c>
      <c r="BM560" s="147" t="s">
        <v>683</v>
      </c>
    </row>
    <row r="561" spans="1:65" s="2" customFormat="1" ht="24.2" customHeight="1">
      <c r="A561" s="31"/>
      <c r="B561" s="136"/>
      <c r="C561" s="137" t="s">
        <v>684</v>
      </c>
      <c r="D561" s="137" t="s">
        <v>147</v>
      </c>
      <c r="E561" s="138" t="s">
        <v>685</v>
      </c>
      <c r="F561" s="139" t="s">
        <v>686</v>
      </c>
      <c r="G561" s="140" t="s">
        <v>183</v>
      </c>
      <c r="H561" s="141">
        <v>39.123</v>
      </c>
      <c r="I561" s="278"/>
      <c r="J561" s="142">
        <f>ROUND(I561*H561,2)</f>
        <v>0</v>
      </c>
      <c r="K561" s="139" t="s">
        <v>157</v>
      </c>
      <c r="L561" s="32"/>
      <c r="M561" s="143" t="s">
        <v>3</v>
      </c>
      <c r="N561" s="144" t="s">
        <v>46</v>
      </c>
      <c r="O561" s="145">
        <v>0.136</v>
      </c>
      <c r="P561" s="145">
        <f>O561*H561</f>
        <v>5.320728</v>
      </c>
      <c r="Q561" s="145">
        <v>0.00055</v>
      </c>
      <c r="R561" s="145">
        <f>Q561*H561</f>
        <v>0.02151765</v>
      </c>
      <c r="S561" s="145">
        <v>0</v>
      </c>
      <c r="T561" s="146">
        <f>S561*H561</f>
        <v>0</v>
      </c>
      <c r="U561" s="31"/>
      <c r="V561" s="31"/>
      <c r="W561" s="31"/>
      <c r="X561" s="31"/>
      <c r="Y561" s="31"/>
      <c r="Z561" s="31"/>
      <c r="AA561" s="31"/>
      <c r="AB561" s="31"/>
      <c r="AC561" s="31"/>
      <c r="AD561" s="31"/>
      <c r="AE561" s="31"/>
      <c r="AR561" s="147" t="s">
        <v>218</v>
      </c>
      <c r="AT561" s="147" t="s">
        <v>147</v>
      </c>
      <c r="AU561" s="147" t="s">
        <v>85</v>
      </c>
      <c r="AY561" s="19" t="s">
        <v>144</v>
      </c>
      <c r="BE561" s="148">
        <f>IF(N561="základní",J561,0)</f>
        <v>0</v>
      </c>
      <c r="BF561" s="148">
        <f>IF(N561="snížená",J561,0)</f>
        <v>0</v>
      </c>
      <c r="BG561" s="148">
        <f>IF(N561="zákl. přenesená",J561,0)</f>
        <v>0</v>
      </c>
      <c r="BH561" s="148">
        <f>IF(N561="sníž. přenesená",J561,0)</f>
        <v>0</v>
      </c>
      <c r="BI561" s="148">
        <f>IF(N561="nulová",J561,0)</f>
        <v>0</v>
      </c>
      <c r="BJ561" s="19" t="s">
        <v>83</v>
      </c>
      <c r="BK561" s="148">
        <f>ROUND(I561*H561,2)</f>
        <v>0</v>
      </c>
      <c r="BL561" s="19" t="s">
        <v>218</v>
      </c>
      <c r="BM561" s="147" t="s">
        <v>687</v>
      </c>
    </row>
    <row r="562" spans="2:51" s="13" customFormat="1" ht="12">
      <c r="B562" s="149"/>
      <c r="D562" s="150" t="s">
        <v>154</v>
      </c>
      <c r="E562" s="151" t="s">
        <v>3</v>
      </c>
      <c r="F562" s="152" t="s">
        <v>216</v>
      </c>
      <c r="H562" s="151" t="s">
        <v>3</v>
      </c>
      <c r="I562" s="282"/>
      <c r="L562" s="149"/>
      <c r="M562" s="153"/>
      <c r="N562" s="154"/>
      <c r="O562" s="154"/>
      <c r="P562" s="154"/>
      <c r="Q562" s="154"/>
      <c r="R562" s="154"/>
      <c r="S562" s="154"/>
      <c r="T562" s="155"/>
      <c r="AT562" s="151" t="s">
        <v>154</v>
      </c>
      <c r="AU562" s="151" t="s">
        <v>85</v>
      </c>
      <c r="AV562" s="13" t="s">
        <v>83</v>
      </c>
      <c r="AW562" s="13" t="s">
        <v>37</v>
      </c>
      <c r="AX562" s="13" t="s">
        <v>75</v>
      </c>
      <c r="AY562" s="151" t="s">
        <v>144</v>
      </c>
    </row>
    <row r="563" spans="2:51" s="14" customFormat="1" ht="12">
      <c r="B563" s="156"/>
      <c r="D563" s="150" t="s">
        <v>154</v>
      </c>
      <c r="E563" s="157" t="s">
        <v>3</v>
      </c>
      <c r="F563" s="158" t="s">
        <v>688</v>
      </c>
      <c r="H563" s="159">
        <v>39.123</v>
      </c>
      <c r="I563" s="280"/>
      <c r="L563" s="156"/>
      <c r="M563" s="160"/>
      <c r="N563" s="161"/>
      <c r="O563" s="161"/>
      <c r="P563" s="161"/>
      <c r="Q563" s="161"/>
      <c r="R563" s="161"/>
      <c r="S563" s="161"/>
      <c r="T563" s="162"/>
      <c r="AT563" s="157" t="s">
        <v>154</v>
      </c>
      <c r="AU563" s="157" t="s">
        <v>85</v>
      </c>
      <c r="AV563" s="14" t="s">
        <v>85</v>
      </c>
      <c r="AW563" s="14" t="s">
        <v>37</v>
      </c>
      <c r="AX563" s="14" t="s">
        <v>83</v>
      </c>
      <c r="AY563" s="157" t="s">
        <v>144</v>
      </c>
    </row>
    <row r="564" spans="1:65" s="2" customFormat="1" ht="24.2" customHeight="1">
      <c r="A564" s="31"/>
      <c r="B564" s="136"/>
      <c r="C564" s="137" t="s">
        <v>689</v>
      </c>
      <c r="D564" s="137" t="s">
        <v>147</v>
      </c>
      <c r="E564" s="138" t="s">
        <v>690</v>
      </c>
      <c r="F564" s="139" t="s">
        <v>691</v>
      </c>
      <c r="G564" s="140" t="s">
        <v>183</v>
      </c>
      <c r="H564" s="141">
        <v>39.123</v>
      </c>
      <c r="I564" s="278"/>
      <c r="J564" s="142">
        <f>ROUND(I564*H564,2)</f>
        <v>0</v>
      </c>
      <c r="K564" s="139" t="s">
        <v>157</v>
      </c>
      <c r="L564" s="32"/>
      <c r="M564" s="143" t="s">
        <v>3</v>
      </c>
      <c r="N564" s="144" t="s">
        <v>46</v>
      </c>
      <c r="O564" s="145">
        <v>0.36</v>
      </c>
      <c r="P564" s="145">
        <f>O564*H564</f>
        <v>14.084279999999998</v>
      </c>
      <c r="Q564" s="145">
        <v>0.0054</v>
      </c>
      <c r="R564" s="145">
        <f>Q564*H564</f>
        <v>0.21126419999999999</v>
      </c>
      <c r="S564" s="145">
        <v>0</v>
      </c>
      <c r="T564" s="146">
        <f>S564*H564</f>
        <v>0</v>
      </c>
      <c r="U564" s="31"/>
      <c r="V564" s="31"/>
      <c r="W564" s="31"/>
      <c r="X564" s="31"/>
      <c r="Y564" s="31"/>
      <c r="Z564" s="31"/>
      <c r="AA564" s="31"/>
      <c r="AB564" s="31"/>
      <c r="AC564" s="31"/>
      <c r="AD564" s="31"/>
      <c r="AE564" s="31"/>
      <c r="AR564" s="147" t="s">
        <v>218</v>
      </c>
      <c r="AT564" s="147" t="s">
        <v>147</v>
      </c>
      <c r="AU564" s="147" t="s">
        <v>85</v>
      </c>
      <c r="AY564" s="19" t="s">
        <v>144</v>
      </c>
      <c r="BE564" s="148">
        <f>IF(N564="základní",J564,0)</f>
        <v>0</v>
      </c>
      <c r="BF564" s="148">
        <f>IF(N564="snížená",J564,0)</f>
        <v>0</v>
      </c>
      <c r="BG564" s="148">
        <f>IF(N564="zákl. přenesená",J564,0)</f>
        <v>0</v>
      </c>
      <c r="BH564" s="148">
        <f>IF(N564="sníž. přenesená",J564,0)</f>
        <v>0</v>
      </c>
      <c r="BI564" s="148">
        <f>IF(N564="nulová",J564,0)</f>
        <v>0</v>
      </c>
      <c r="BJ564" s="19" t="s">
        <v>83</v>
      </c>
      <c r="BK564" s="148">
        <f>ROUND(I564*H564,2)</f>
        <v>0</v>
      </c>
      <c r="BL564" s="19" t="s">
        <v>218</v>
      </c>
      <c r="BM564" s="147" t="s">
        <v>692</v>
      </c>
    </row>
    <row r="565" spans="1:65" s="2" customFormat="1" ht="14.45" customHeight="1">
      <c r="A565" s="31"/>
      <c r="B565" s="136"/>
      <c r="C565" s="137" t="s">
        <v>693</v>
      </c>
      <c r="D565" s="137" t="s">
        <v>147</v>
      </c>
      <c r="E565" s="138" t="s">
        <v>694</v>
      </c>
      <c r="F565" s="139" t="s">
        <v>695</v>
      </c>
      <c r="G565" s="140" t="s">
        <v>183</v>
      </c>
      <c r="H565" s="141">
        <v>39.123</v>
      </c>
      <c r="I565" s="278"/>
      <c r="J565" s="142">
        <f>ROUND(I565*H565,2)</f>
        <v>0</v>
      </c>
      <c r="K565" s="139" t="s">
        <v>157</v>
      </c>
      <c r="L565" s="32"/>
      <c r="M565" s="143" t="s">
        <v>3</v>
      </c>
      <c r="N565" s="144" t="s">
        <v>46</v>
      </c>
      <c r="O565" s="145">
        <v>0.211</v>
      </c>
      <c r="P565" s="145">
        <f>O565*H565</f>
        <v>8.254952999999999</v>
      </c>
      <c r="Q565" s="145">
        <v>0.00024</v>
      </c>
      <c r="R565" s="145">
        <f>Q565*H565</f>
        <v>0.00938952</v>
      </c>
      <c r="S565" s="145">
        <v>0</v>
      </c>
      <c r="T565" s="146">
        <f>S565*H565</f>
        <v>0</v>
      </c>
      <c r="U565" s="31"/>
      <c r="V565" s="31"/>
      <c r="W565" s="31"/>
      <c r="X565" s="31"/>
      <c r="Y565" s="31"/>
      <c r="Z565" s="31"/>
      <c r="AA565" s="31"/>
      <c r="AB565" s="31"/>
      <c r="AC565" s="31"/>
      <c r="AD565" s="31"/>
      <c r="AE565" s="31"/>
      <c r="AR565" s="147" t="s">
        <v>218</v>
      </c>
      <c r="AT565" s="147" t="s">
        <v>147</v>
      </c>
      <c r="AU565" s="147" t="s">
        <v>85</v>
      </c>
      <c r="AY565" s="19" t="s">
        <v>144</v>
      </c>
      <c r="BE565" s="148">
        <f>IF(N565="základní",J565,0)</f>
        <v>0</v>
      </c>
      <c r="BF565" s="148">
        <f>IF(N565="snížená",J565,0)</f>
        <v>0</v>
      </c>
      <c r="BG565" s="148">
        <f>IF(N565="zákl. přenesená",J565,0)</f>
        <v>0</v>
      </c>
      <c r="BH565" s="148">
        <f>IF(N565="sníž. přenesená",J565,0)</f>
        <v>0</v>
      </c>
      <c r="BI565" s="148">
        <f>IF(N565="nulová",J565,0)</f>
        <v>0</v>
      </c>
      <c r="BJ565" s="19" t="s">
        <v>83</v>
      </c>
      <c r="BK565" s="148">
        <f>ROUND(I565*H565,2)</f>
        <v>0</v>
      </c>
      <c r="BL565" s="19" t="s">
        <v>218</v>
      </c>
      <c r="BM565" s="147" t="s">
        <v>696</v>
      </c>
    </row>
    <row r="566" spans="1:47" s="2" customFormat="1" ht="58.5">
      <c r="A566" s="31"/>
      <c r="B566" s="32"/>
      <c r="C566" s="31"/>
      <c r="D566" s="150" t="s">
        <v>158</v>
      </c>
      <c r="E566" s="31"/>
      <c r="F566" s="163" t="s">
        <v>697</v>
      </c>
      <c r="G566" s="31"/>
      <c r="H566" s="31"/>
      <c r="I566" s="279"/>
      <c r="J566" s="31"/>
      <c r="K566" s="31"/>
      <c r="L566" s="32"/>
      <c r="M566" s="164"/>
      <c r="N566" s="165"/>
      <c r="O566" s="52"/>
      <c r="P566" s="52"/>
      <c r="Q566" s="52"/>
      <c r="R566" s="52"/>
      <c r="S566" s="52"/>
      <c r="T566" s="53"/>
      <c r="U566" s="31"/>
      <c r="V566" s="31"/>
      <c r="W566" s="31"/>
      <c r="X566" s="31"/>
      <c r="Y566" s="31"/>
      <c r="Z566" s="31"/>
      <c r="AA566" s="31"/>
      <c r="AB566" s="31"/>
      <c r="AC566" s="31"/>
      <c r="AD566" s="31"/>
      <c r="AE566" s="31"/>
      <c r="AT566" s="19" t="s">
        <v>158</v>
      </c>
      <c r="AU566" s="19" t="s">
        <v>85</v>
      </c>
    </row>
    <row r="567" spans="1:65" s="2" customFormat="1" ht="14.45" customHeight="1">
      <c r="A567" s="31"/>
      <c r="B567" s="136"/>
      <c r="C567" s="137" t="s">
        <v>698</v>
      </c>
      <c r="D567" s="137" t="s">
        <v>147</v>
      </c>
      <c r="E567" s="138" t="s">
        <v>699</v>
      </c>
      <c r="F567" s="139" t="s">
        <v>700</v>
      </c>
      <c r="G567" s="140" t="s">
        <v>183</v>
      </c>
      <c r="H567" s="141">
        <v>39.123</v>
      </c>
      <c r="I567" s="278"/>
      <c r="J567" s="142">
        <f>ROUND(I567*H567,2)</f>
        <v>0</v>
      </c>
      <c r="K567" s="139" t="s">
        <v>157</v>
      </c>
      <c r="L567" s="32"/>
      <c r="M567" s="143" t="s">
        <v>3</v>
      </c>
      <c r="N567" s="144" t="s">
        <v>46</v>
      </c>
      <c r="O567" s="145">
        <v>0.18</v>
      </c>
      <c r="P567" s="145">
        <f>O567*H567</f>
        <v>7.042139999999999</v>
      </c>
      <c r="Q567" s="145">
        <v>0.0002</v>
      </c>
      <c r="R567" s="145">
        <f>Q567*H567</f>
        <v>0.0078246</v>
      </c>
      <c r="S567" s="145">
        <v>0</v>
      </c>
      <c r="T567" s="146">
        <f>S567*H567</f>
        <v>0</v>
      </c>
      <c r="U567" s="31"/>
      <c r="V567" s="31"/>
      <c r="W567" s="31"/>
      <c r="X567" s="31"/>
      <c r="Y567" s="31"/>
      <c r="Z567" s="31"/>
      <c r="AA567" s="31"/>
      <c r="AB567" s="31"/>
      <c r="AC567" s="31"/>
      <c r="AD567" s="31"/>
      <c r="AE567" s="31"/>
      <c r="AR567" s="147" t="s">
        <v>218</v>
      </c>
      <c r="AT567" s="147" t="s">
        <v>147</v>
      </c>
      <c r="AU567" s="147" t="s">
        <v>85</v>
      </c>
      <c r="AY567" s="19" t="s">
        <v>144</v>
      </c>
      <c r="BE567" s="148">
        <f>IF(N567="základní",J567,0)</f>
        <v>0</v>
      </c>
      <c r="BF567" s="148">
        <f>IF(N567="snížená",J567,0)</f>
        <v>0</v>
      </c>
      <c r="BG567" s="148">
        <f>IF(N567="zákl. přenesená",J567,0)</f>
        <v>0</v>
      </c>
      <c r="BH567" s="148">
        <f>IF(N567="sníž. přenesená",J567,0)</f>
        <v>0</v>
      </c>
      <c r="BI567" s="148">
        <f>IF(N567="nulová",J567,0)</f>
        <v>0</v>
      </c>
      <c r="BJ567" s="19" t="s">
        <v>83</v>
      </c>
      <c r="BK567" s="148">
        <f>ROUND(I567*H567,2)</f>
        <v>0</v>
      </c>
      <c r="BL567" s="19" t="s">
        <v>218</v>
      </c>
      <c r="BM567" s="147" t="s">
        <v>701</v>
      </c>
    </row>
    <row r="568" spans="1:65" s="2" customFormat="1" ht="37.9" customHeight="1">
      <c r="A568" s="31"/>
      <c r="B568" s="136"/>
      <c r="C568" s="137" t="s">
        <v>702</v>
      </c>
      <c r="D568" s="137" t="s">
        <v>147</v>
      </c>
      <c r="E568" s="138" t="s">
        <v>703</v>
      </c>
      <c r="F568" s="139" t="s">
        <v>704</v>
      </c>
      <c r="G568" s="140" t="s">
        <v>387</v>
      </c>
      <c r="H568" s="141">
        <v>1082.267</v>
      </c>
      <c r="I568" s="278"/>
      <c r="J568" s="142">
        <f>ROUND(I568*H568,2)</f>
        <v>0</v>
      </c>
      <c r="K568" s="139" t="s">
        <v>157</v>
      </c>
      <c r="L568" s="32"/>
      <c r="M568" s="143" t="s">
        <v>3</v>
      </c>
      <c r="N568" s="144" t="s">
        <v>46</v>
      </c>
      <c r="O568" s="145">
        <v>0</v>
      </c>
      <c r="P568" s="145">
        <f>O568*H568</f>
        <v>0</v>
      </c>
      <c r="Q568" s="145">
        <v>0</v>
      </c>
      <c r="R568" s="145">
        <f>Q568*H568</f>
        <v>0</v>
      </c>
      <c r="S568" s="145">
        <v>0</v>
      </c>
      <c r="T568" s="146">
        <f>S568*H568</f>
        <v>0</v>
      </c>
      <c r="U568" s="31"/>
      <c r="V568" s="31"/>
      <c r="W568" s="31"/>
      <c r="X568" s="31"/>
      <c r="Y568" s="31"/>
      <c r="Z568" s="31"/>
      <c r="AA568" s="31"/>
      <c r="AB568" s="31"/>
      <c r="AC568" s="31"/>
      <c r="AD568" s="31"/>
      <c r="AE568" s="31"/>
      <c r="AR568" s="147" t="s">
        <v>218</v>
      </c>
      <c r="AT568" s="147" t="s">
        <v>147</v>
      </c>
      <c r="AU568" s="147" t="s">
        <v>85</v>
      </c>
      <c r="AY568" s="19" t="s">
        <v>144</v>
      </c>
      <c r="BE568" s="148">
        <f>IF(N568="základní",J568,0)</f>
        <v>0</v>
      </c>
      <c r="BF568" s="148">
        <f>IF(N568="snížená",J568,0)</f>
        <v>0</v>
      </c>
      <c r="BG568" s="148">
        <f>IF(N568="zákl. přenesená",J568,0)</f>
        <v>0</v>
      </c>
      <c r="BH568" s="148">
        <f>IF(N568="sníž. přenesená",J568,0)</f>
        <v>0</v>
      </c>
      <c r="BI568" s="148">
        <f>IF(N568="nulová",J568,0)</f>
        <v>0</v>
      </c>
      <c r="BJ568" s="19" t="s">
        <v>83</v>
      </c>
      <c r="BK568" s="148">
        <f>ROUND(I568*H568,2)</f>
        <v>0</v>
      </c>
      <c r="BL568" s="19" t="s">
        <v>218</v>
      </c>
      <c r="BM568" s="147" t="s">
        <v>705</v>
      </c>
    </row>
    <row r="569" spans="1:47" s="2" customFormat="1" ht="126.75">
      <c r="A569" s="31"/>
      <c r="B569" s="32"/>
      <c r="C569" s="31"/>
      <c r="D569" s="150" t="s">
        <v>158</v>
      </c>
      <c r="E569" s="31"/>
      <c r="F569" s="163" t="s">
        <v>572</v>
      </c>
      <c r="G569" s="31"/>
      <c r="H569" s="31"/>
      <c r="I569" s="279"/>
      <c r="J569" s="31"/>
      <c r="K569" s="31"/>
      <c r="L569" s="32"/>
      <c r="M569" s="164"/>
      <c r="N569" s="165"/>
      <c r="O569" s="52"/>
      <c r="P569" s="52"/>
      <c r="Q569" s="52"/>
      <c r="R569" s="52"/>
      <c r="S569" s="52"/>
      <c r="T569" s="53"/>
      <c r="U569" s="31"/>
      <c r="V569" s="31"/>
      <c r="W569" s="31"/>
      <c r="X569" s="31"/>
      <c r="Y569" s="31"/>
      <c r="Z569" s="31"/>
      <c r="AA569" s="31"/>
      <c r="AB569" s="31"/>
      <c r="AC569" s="31"/>
      <c r="AD569" s="31"/>
      <c r="AE569" s="31"/>
      <c r="AT569" s="19" t="s">
        <v>158</v>
      </c>
      <c r="AU569" s="19" t="s">
        <v>85</v>
      </c>
    </row>
    <row r="570" spans="1:65" s="2" customFormat="1" ht="49.15" customHeight="1">
      <c r="A570" s="31"/>
      <c r="B570" s="136"/>
      <c r="C570" s="137" t="s">
        <v>706</v>
      </c>
      <c r="D570" s="137" t="s">
        <v>147</v>
      </c>
      <c r="E570" s="138" t="s">
        <v>707</v>
      </c>
      <c r="F570" s="139" t="s">
        <v>708</v>
      </c>
      <c r="G570" s="140" t="s">
        <v>387</v>
      </c>
      <c r="H570" s="141">
        <v>1082.267</v>
      </c>
      <c r="I570" s="278"/>
      <c r="J570" s="142">
        <f>ROUND(I570*H570,2)</f>
        <v>0</v>
      </c>
      <c r="K570" s="139" t="s">
        <v>157</v>
      </c>
      <c r="L570" s="32"/>
      <c r="M570" s="143" t="s">
        <v>3</v>
      </c>
      <c r="N570" s="144" t="s">
        <v>46</v>
      </c>
      <c r="O570" s="145">
        <v>0</v>
      </c>
      <c r="P570" s="145">
        <f>O570*H570</f>
        <v>0</v>
      </c>
      <c r="Q570" s="145">
        <v>0</v>
      </c>
      <c r="R570" s="145">
        <f>Q570*H570</f>
        <v>0</v>
      </c>
      <c r="S570" s="145">
        <v>0</v>
      </c>
      <c r="T570" s="146">
        <f>S570*H570</f>
        <v>0</v>
      </c>
      <c r="U570" s="31"/>
      <c r="V570" s="31"/>
      <c r="W570" s="31"/>
      <c r="X570" s="31"/>
      <c r="Y570" s="31"/>
      <c r="Z570" s="31"/>
      <c r="AA570" s="31"/>
      <c r="AB570" s="31"/>
      <c r="AC570" s="31"/>
      <c r="AD570" s="31"/>
      <c r="AE570" s="31"/>
      <c r="AR570" s="147" t="s">
        <v>218</v>
      </c>
      <c r="AT570" s="147" t="s">
        <v>147</v>
      </c>
      <c r="AU570" s="147" t="s">
        <v>85</v>
      </c>
      <c r="AY570" s="19" t="s">
        <v>144</v>
      </c>
      <c r="BE570" s="148">
        <f>IF(N570="základní",J570,0)</f>
        <v>0</v>
      </c>
      <c r="BF570" s="148">
        <f>IF(N570="snížená",J570,0)</f>
        <v>0</v>
      </c>
      <c r="BG570" s="148">
        <f>IF(N570="zákl. přenesená",J570,0)</f>
        <v>0</v>
      </c>
      <c r="BH570" s="148">
        <f>IF(N570="sníž. přenesená",J570,0)</f>
        <v>0</v>
      </c>
      <c r="BI570" s="148">
        <f>IF(N570="nulová",J570,0)</f>
        <v>0</v>
      </c>
      <c r="BJ570" s="19" t="s">
        <v>83</v>
      </c>
      <c r="BK570" s="148">
        <f>ROUND(I570*H570,2)</f>
        <v>0</v>
      </c>
      <c r="BL570" s="19" t="s">
        <v>218</v>
      </c>
      <c r="BM570" s="147" t="s">
        <v>709</v>
      </c>
    </row>
    <row r="571" spans="1:47" s="2" customFormat="1" ht="126.75">
      <c r="A571" s="31"/>
      <c r="B571" s="32"/>
      <c r="C571" s="31"/>
      <c r="D571" s="150" t="s">
        <v>158</v>
      </c>
      <c r="E571" s="31"/>
      <c r="F571" s="163" t="s">
        <v>572</v>
      </c>
      <c r="G571" s="31"/>
      <c r="H571" s="31"/>
      <c r="I571" s="279"/>
      <c r="J571" s="31"/>
      <c r="K571" s="31"/>
      <c r="L571" s="32"/>
      <c r="M571" s="164"/>
      <c r="N571" s="165"/>
      <c r="O571" s="52"/>
      <c r="P571" s="52"/>
      <c r="Q571" s="52"/>
      <c r="R571" s="52"/>
      <c r="S571" s="52"/>
      <c r="T571" s="53"/>
      <c r="U571" s="31"/>
      <c r="V571" s="31"/>
      <c r="W571" s="31"/>
      <c r="X571" s="31"/>
      <c r="Y571" s="31"/>
      <c r="Z571" s="31"/>
      <c r="AA571" s="31"/>
      <c r="AB571" s="31"/>
      <c r="AC571" s="31"/>
      <c r="AD571" s="31"/>
      <c r="AE571" s="31"/>
      <c r="AT571" s="19" t="s">
        <v>158</v>
      </c>
      <c r="AU571" s="19" t="s">
        <v>85</v>
      </c>
    </row>
    <row r="572" spans="2:63" s="12" customFormat="1" ht="22.9" customHeight="1">
      <c r="B572" s="124"/>
      <c r="D572" s="125" t="s">
        <v>74</v>
      </c>
      <c r="E572" s="134" t="s">
        <v>710</v>
      </c>
      <c r="F572" s="134" t="s">
        <v>711</v>
      </c>
      <c r="I572" s="285"/>
      <c r="J572" s="135">
        <f>BK572</f>
        <v>0</v>
      </c>
      <c r="L572" s="124"/>
      <c r="M572" s="128"/>
      <c r="N572" s="129"/>
      <c r="O572" s="129"/>
      <c r="P572" s="130">
        <f>SUM(P573:P642)</f>
        <v>299.339701</v>
      </c>
      <c r="Q572" s="129"/>
      <c r="R572" s="130">
        <f>SUM(R573:R642)</f>
        <v>3.989510925</v>
      </c>
      <c r="S572" s="129"/>
      <c r="T572" s="131">
        <f>SUM(T573:T642)</f>
        <v>0</v>
      </c>
      <c r="AR572" s="125" t="s">
        <v>85</v>
      </c>
      <c r="AT572" s="132" t="s">
        <v>74</v>
      </c>
      <c r="AU572" s="132" t="s">
        <v>83</v>
      </c>
      <c r="AY572" s="125" t="s">
        <v>144</v>
      </c>
      <c r="BK572" s="133">
        <f>SUM(BK573:BK642)</f>
        <v>0</v>
      </c>
    </row>
    <row r="573" spans="1:65" s="2" customFormat="1" ht="24.2" customHeight="1">
      <c r="A573" s="31"/>
      <c r="B573" s="136"/>
      <c r="C573" s="137" t="s">
        <v>712</v>
      </c>
      <c r="D573" s="137" t="s">
        <v>147</v>
      </c>
      <c r="E573" s="138" t="s">
        <v>713</v>
      </c>
      <c r="F573" s="139" t="s">
        <v>714</v>
      </c>
      <c r="G573" s="140" t="s">
        <v>183</v>
      </c>
      <c r="H573" s="141">
        <v>86.8</v>
      </c>
      <c r="I573" s="278"/>
      <c r="J573" s="142">
        <f>ROUND(I573*H573,2)</f>
        <v>0</v>
      </c>
      <c r="K573" s="139" t="s">
        <v>157</v>
      </c>
      <c r="L573" s="32"/>
      <c r="M573" s="143" t="s">
        <v>3</v>
      </c>
      <c r="N573" s="144" t="s">
        <v>46</v>
      </c>
      <c r="O573" s="145">
        <v>0.012</v>
      </c>
      <c r="P573" s="145">
        <f>O573*H573</f>
        <v>1.0416</v>
      </c>
      <c r="Q573" s="145">
        <v>0</v>
      </c>
      <c r="R573" s="145">
        <f>Q573*H573</f>
        <v>0</v>
      </c>
      <c r="S573" s="145">
        <v>0</v>
      </c>
      <c r="T573" s="146">
        <f>S573*H573</f>
        <v>0</v>
      </c>
      <c r="U573" s="31"/>
      <c r="V573" s="31"/>
      <c r="W573" s="31"/>
      <c r="X573" s="31"/>
      <c r="Y573" s="31"/>
      <c r="Z573" s="31"/>
      <c r="AA573" s="31"/>
      <c r="AB573" s="31"/>
      <c r="AC573" s="31"/>
      <c r="AD573" s="31"/>
      <c r="AE573" s="31"/>
      <c r="AR573" s="147" t="s">
        <v>218</v>
      </c>
      <c r="AT573" s="147" t="s">
        <v>147</v>
      </c>
      <c r="AU573" s="147" t="s">
        <v>85</v>
      </c>
      <c r="AY573" s="19" t="s">
        <v>144</v>
      </c>
      <c r="BE573" s="148">
        <f>IF(N573="základní",J573,0)</f>
        <v>0</v>
      </c>
      <c r="BF573" s="148">
        <f>IF(N573="snížená",J573,0)</f>
        <v>0</v>
      </c>
      <c r="BG573" s="148">
        <f>IF(N573="zákl. přenesená",J573,0)</f>
        <v>0</v>
      </c>
      <c r="BH573" s="148">
        <f>IF(N573="sníž. přenesená",J573,0)</f>
        <v>0</v>
      </c>
      <c r="BI573" s="148">
        <f>IF(N573="nulová",J573,0)</f>
        <v>0</v>
      </c>
      <c r="BJ573" s="19" t="s">
        <v>83</v>
      </c>
      <c r="BK573" s="148">
        <f>ROUND(I573*H573,2)</f>
        <v>0</v>
      </c>
      <c r="BL573" s="19" t="s">
        <v>218</v>
      </c>
      <c r="BM573" s="147" t="s">
        <v>715</v>
      </c>
    </row>
    <row r="574" spans="1:47" s="2" customFormat="1" ht="107.25">
      <c r="A574" s="31"/>
      <c r="B574" s="32"/>
      <c r="C574" s="31"/>
      <c r="D574" s="150" t="s">
        <v>158</v>
      </c>
      <c r="E574" s="31"/>
      <c r="F574" s="163" t="s">
        <v>716</v>
      </c>
      <c r="G574" s="31"/>
      <c r="H574" s="31"/>
      <c r="I574" s="279"/>
      <c r="J574" s="31"/>
      <c r="K574" s="31"/>
      <c r="L574" s="32"/>
      <c r="M574" s="164"/>
      <c r="N574" s="165"/>
      <c r="O574" s="52"/>
      <c r="P574" s="52"/>
      <c r="Q574" s="52"/>
      <c r="R574" s="52"/>
      <c r="S574" s="52"/>
      <c r="T574" s="53"/>
      <c r="U574" s="31"/>
      <c r="V574" s="31"/>
      <c r="W574" s="31"/>
      <c r="X574" s="31"/>
      <c r="Y574" s="31"/>
      <c r="Z574" s="31"/>
      <c r="AA574" s="31"/>
      <c r="AB574" s="31"/>
      <c r="AC574" s="31"/>
      <c r="AD574" s="31"/>
      <c r="AE574" s="31"/>
      <c r="AT574" s="19" t="s">
        <v>158</v>
      </c>
      <c r="AU574" s="19" t="s">
        <v>85</v>
      </c>
    </row>
    <row r="575" spans="2:51" s="13" customFormat="1" ht="12">
      <c r="B575" s="149"/>
      <c r="D575" s="150" t="s">
        <v>154</v>
      </c>
      <c r="E575" s="151" t="s">
        <v>3</v>
      </c>
      <c r="F575" s="152" t="s">
        <v>216</v>
      </c>
      <c r="H575" s="151" t="s">
        <v>3</v>
      </c>
      <c r="I575" s="282"/>
      <c r="L575" s="149"/>
      <c r="M575" s="153"/>
      <c r="N575" s="154"/>
      <c r="O575" s="154"/>
      <c r="P575" s="154"/>
      <c r="Q575" s="154"/>
      <c r="R575" s="154"/>
      <c r="S575" s="154"/>
      <c r="T575" s="155"/>
      <c r="AT575" s="151" t="s">
        <v>154</v>
      </c>
      <c r="AU575" s="151" t="s">
        <v>85</v>
      </c>
      <c r="AV575" s="13" t="s">
        <v>83</v>
      </c>
      <c r="AW575" s="13" t="s">
        <v>37</v>
      </c>
      <c r="AX575" s="13" t="s">
        <v>75</v>
      </c>
      <c r="AY575" s="151" t="s">
        <v>144</v>
      </c>
    </row>
    <row r="576" spans="1:65" s="2" customFormat="1" ht="24.2" customHeight="1">
      <c r="A576" s="31"/>
      <c r="B576" s="136"/>
      <c r="C576" s="137" t="s">
        <v>717</v>
      </c>
      <c r="D576" s="137" t="s">
        <v>147</v>
      </c>
      <c r="E576" s="138" t="s">
        <v>718</v>
      </c>
      <c r="F576" s="139" t="s">
        <v>719</v>
      </c>
      <c r="G576" s="140" t="s">
        <v>183</v>
      </c>
      <c r="H576" s="141">
        <v>86.8</v>
      </c>
      <c r="I576" s="278"/>
      <c r="J576" s="142">
        <f>ROUND(I576*H576,2)</f>
        <v>0</v>
      </c>
      <c r="K576" s="139" t="s">
        <v>157</v>
      </c>
      <c r="L576" s="32"/>
      <c r="M576" s="143" t="s">
        <v>3</v>
      </c>
      <c r="N576" s="144" t="s">
        <v>46</v>
      </c>
      <c r="O576" s="145">
        <v>0.044</v>
      </c>
      <c r="P576" s="145">
        <f>O576*H576</f>
        <v>3.8191999999999995</v>
      </c>
      <c r="Q576" s="145">
        <v>0.0003</v>
      </c>
      <c r="R576" s="145">
        <f>Q576*H576</f>
        <v>0.026039999999999997</v>
      </c>
      <c r="S576" s="145">
        <v>0</v>
      </c>
      <c r="T576" s="146">
        <f>S576*H576</f>
        <v>0</v>
      </c>
      <c r="U576" s="31"/>
      <c r="V576" s="31"/>
      <c r="W576" s="31"/>
      <c r="X576" s="31"/>
      <c r="Y576" s="31"/>
      <c r="Z576" s="31"/>
      <c r="AA576" s="31"/>
      <c r="AB576" s="31"/>
      <c r="AC576" s="31"/>
      <c r="AD576" s="31"/>
      <c r="AE576" s="31"/>
      <c r="AR576" s="147" t="s">
        <v>218</v>
      </c>
      <c r="AT576" s="147" t="s">
        <v>147</v>
      </c>
      <c r="AU576" s="147" t="s">
        <v>85</v>
      </c>
      <c r="AY576" s="19" t="s">
        <v>144</v>
      </c>
      <c r="BE576" s="148">
        <f>IF(N576="základní",J576,0)</f>
        <v>0</v>
      </c>
      <c r="BF576" s="148">
        <f>IF(N576="snížená",J576,0)</f>
        <v>0</v>
      </c>
      <c r="BG576" s="148">
        <f>IF(N576="zákl. přenesená",J576,0)</f>
        <v>0</v>
      </c>
      <c r="BH576" s="148">
        <f>IF(N576="sníž. přenesená",J576,0)</f>
        <v>0</v>
      </c>
      <c r="BI576" s="148">
        <f>IF(N576="nulová",J576,0)</f>
        <v>0</v>
      </c>
      <c r="BJ576" s="19" t="s">
        <v>83</v>
      </c>
      <c r="BK576" s="148">
        <f>ROUND(I576*H576,2)</f>
        <v>0</v>
      </c>
      <c r="BL576" s="19" t="s">
        <v>218</v>
      </c>
      <c r="BM576" s="147" t="s">
        <v>720</v>
      </c>
    </row>
    <row r="577" spans="1:47" s="2" customFormat="1" ht="107.25">
      <c r="A577" s="31"/>
      <c r="B577" s="32"/>
      <c r="C577" s="31"/>
      <c r="D577" s="150" t="s">
        <v>158</v>
      </c>
      <c r="E577" s="31"/>
      <c r="F577" s="163" t="s">
        <v>716</v>
      </c>
      <c r="G577" s="31"/>
      <c r="H577" s="31"/>
      <c r="I577" s="279"/>
      <c r="J577" s="31"/>
      <c r="K577" s="31"/>
      <c r="L577" s="32"/>
      <c r="M577" s="164"/>
      <c r="N577" s="165"/>
      <c r="O577" s="52"/>
      <c r="P577" s="52"/>
      <c r="Q577" s="52"/>
      <c r="R577" s="52"/>
      <c r="S577" s="52"/>
      <c r="T577" s="53"/>
      <c r="U577" s="31"/>
      <c r="V577" s="31"/>
      <c r="W577" s="31"/>
      <c r="X577" s="31"/>
      <c r="Y577" s="31"/>
      <c r="Z577" s="31"/>
      <c r="AA577" s="31"/>
      <c r="AB577" s="31"/>
      <c r="AC577" s="31"/>
      <c r="AD577" s="31"/>
      <c r="AE577" s="31"/>
      <c r="AT577" s="19" t="s">
        <v>158</v>
      </c>
      <c r="AU577" s="19" t="s">
        <v>85</v>
      </c>
    </row>
    <row r="578" spans="1:65" s="2" customFormat="1" ht="24.2" customHeight="1">
      <c r="A578" s="31"/>
      <c r="B578" s="136"/>
      <c r="C578" s="137" t="s">
        <v>721</v>
      </c>
      <c r="D578" s="137" t="s">
        <v>147</v>
      </c>
      <c r="E578" s="138" t="s">
        <v>722</v>
      </c>
      <c r="F578" s="139" t="s">
        <v>723</v>
      </c>
      <c r="G578" s="140" t="s">
        <v>183</v>
      </c>
      <c r="H578" s="141">
        <v>86.8</v>
      </c>
      <c r="I578" s="278"/>
      <c r="J578" s="142">
        <f>ROUND(I578*H578,2)</f>
        <v>0</v>
      </c>
      <c r="K578" s="139" t="s">
        <v>157</v>
      </c>
      <c r="L578" s="32"/>
      <c r="M578" s="143" t="s">
        <v>3</v>
      </c>
      <c r="N578" s="144" t="s">
        <v>46</v>
      </c>
      <c r="O578" s="145">
        <v>0.375</v>
      </c>
      <c r="P578" s="145">
        <f>O578*H578</f>
        <v>32.55</v>
      </c>
      <c r="Q578" s="145">
        <v>0.0015</v>
      </c>
      <c r="R578" s="145">
        <f>Q578*H578</f>
        <v>0.1302</v>
      </c>
      <c r="S578" s="145">
        <v>0</v>
      </c>
      <c r="T578" s="146">
        <f>S578*H578</f>
        <v>0</v>
      </c>
      <c r="U578" s="31"/>
      <c r="V578" s="31"/>
      <c r="W578" s="31"/>
      <c r="X578" s="31"/>
      <c r="Y578" s="31"/>
      <c r="Z578" s="31"/>
      <c r="AA578" s="31"/>
      <c r="AB578" s="31"/>
      <c r="AC578" s="31"/>
      <c r="AD578" s="31"/>
      <c r="AE578" s="31"/>
      <c r="AR578" s="147" t="s">
        <v>218</v>
      </c>
      <c r="AT578" s="147" t="s">
        <v>147</v>
      </c>
      <c r="AU578" s="147" t="s">
        <v>85</v>
      </c>
      <c r="AY578" s="19" t="s">
        <v>144</v>
      </c>
      <c r="BE578" s="148">
        <f>IF(N578="základní",J578,0)</f>
        <v>0</v>
      </c>
      <c r="BF578" s="148">
        <f>IF(N578="snížená",J578,0)</f>
        <v>0</v>
      </c>
      <c r="BG578" s="148">
        <f>IF(N578="zákl. přenesená",J578,0)</f>
        <v>0</v>
      </c>
      <c r="BH578" s="148">
        <f>IF(N578="sníž. přenesená",J578,0)</f>
        <v>0</v>
      </c>
      <c r="BI578" s="148">
        <f>IF(N578="nulová",J578,0)</f>
        <v>0</v>
      </c>
      <c r="BJ578" s="19" t="s">
        <v>83</v>
      </c>
      <c r="BK578" s="148">
        <f>ROUND(I578*H578,2)</f>
        <v>0</v>
      </c>
      <c r="BL578" s="19" t="s">
        <v>218</v>
      </c>
      <c r="BM578" s="147" t="s">
        <v>724</v>
      </c>
    </row>
    <row r="579" spans="1:47" s="2" customFormat="1" ht="87.75">
      <c r="A579" s="31"/>
      <c r="B579" s="32"/>
      <c r="C579" s="31"/>
      <c r="D579" s="150" t="s">
        <v>158</v>
      </c>
      <c r="E579" s="31"/>
      <c r="F579" s="163" t="s">
        <v>725</v>
      </c>
      <c r="G579" s="31"/>
      <c r="H579" s="31"/>
      <c r="I579" s="279"/>
      <c r="J579" s="31"/>
      <c r="K579" s="31"/>
      <c r="L579" s="32"/>
      <c r="M579" s="164"/>
      <c r="N579" s="165"/>
      <c r="O579" s="52"/>
      <c r="P579" s="52"/>
      <c r="Q579" s="52"/>
      <c r="R579" s="52"/>
      <c r="S579" s="52"/>
      <c r="T579" s="53"/>
      <c r="U579" s="31"/>
      <c r="V579" s="31"/>
      <c r="W579" s="31"/>
      <c r="X579" s="31"/>
      <c r="Y579" s="31"/>
      <c r="Z579" s="31"/>
      <c r="AA579" s="31"/>
      <c r="AB579" s="31"/>
      <c r="AC579" s="31"/>
      <c r="AD579" s="31"/>
      <c r="AE579" s="31"/>
      <c r="AT579" s="19" t="s">
        <v>158</v>
      </c>
      <c r="AU579" s="19" t="s">
        <v>85</v>
      </c>
    </row>
    <row r="580" spans="1:65" s="2" customFormat="1" ht="37.9" customHeight="1">
      <c r="A580" s="31"/>
      <c r="B580" s="136"/>
      <c r="C580" s="137" t="s">
        <v>726</v>
      </c>
      <c r="D580" s="137" t="s">
        <v>147</v>
      </c>
      <c r="E580" s="138" t="s">
        <v>727</v>
      </c>
      <c r="F580" s="139" t="s">
        <v>728</v>
      </c>
      <c r="G580" s="140" t="s">
        <v>183</v>
      </c>
      <c r="H580" s="141">
        <f>H595</f>
        <v>76.1049</v>
      </c>
      <c r="I580" s="278"/>
      <c r="J580" s="142">
        <f>ROUND(I580*H580,2)</f>
        <v>0</v>
      </c>
      <c r="K580" s="139" t="s">
        <v>157</v>
      </c>
      <c r="L580" s="32"/>
      <c r="M580" s="143" t="s">
        <v>3</v>
      </c>
      <c r="N580" s="144" t="s">
        <v>46</v>
      </c>
      <c r="O580" s="145">
        <v>1.45</v>
      </c>
      <c r="P580" s="145">
        <f>O580*H580</f>
        <v>110.352105</v>
      </c>
      <c r="Q580" s="145">
        <v>0.009</v>
      </c>
      <c r="R580" s="145">
        <f>Q580*H580</f>
        <v>0.6849441</v>
      </c>
      <c r="S580" s="145">
        <v>0</v>
      </c>
      <c r="T580" s="146">
        <f>S580*H580</f>
        <v>0</v>
      </c>
      <c r="U580" s="31"/>
      <c r="V580" s="31"/>
      <c r="W580" s="31"/>
      <c r="X580" s="31"/>
      <c r="Y580" s="31"/>
      <c r="Z580" s="31"/>
      <c r="AA580" s="31"/>
      <c r="AB580" s="31"/>
      <c r="AC580" s="31"/>
      <c r="AD580" s="31"/>
      <c r="AE580" s="31"/>
      <c r="AR580" s="147" t="s">
        <v>218</v>
      </c>
      <c r="AT580" s="147" t="s">
        <v>147</v>
      </c>
      <c r="AU580" s="147" t="s">
        <v>85</v>
      </c>
      <c r="AY580" s="19" t="s">
        <v>144</v>
      </c>
      <c r="BE580" s="148">
        <f>IF(N580="základní",J580,0)</f>
        <v>0</v>
      </c>
      <c r="BF580" s="148">
        <f>IF(N580="snížená",J580,0)</f>
        <v>0</v>
      </c>
      <c r="BG580" s="148">
        <f>IF(N580="zákl. přenesená",J580,0)</f>
        <v>0</v>
      </c>
      <c r="BH580" s="148">
        <f>IF(N580="sníž. přenesená",J580,0)</f>
        <v>0</v>
      </c>
      <c r="BI580" s="148">
        <f>IF(N580="nulová",J580,0)</f>
        <v>0</v>
      </c>
      <c r="BJ580" s="19" t="s">
        <v>83</v>
      </c>
      <c r="BK580" s="148">
        <f>ROUND(I580*H580,2)</f>
        <v>0</v>
      </c>
      <c r="BL580" s="19" t="s">
        <v>218</v>
      </c>
      <c r="BM580" s="147" t="s">
        <v>729</v>
      </c>
    </row>
    <row r="581" spans="1:47" s="2" customFormat="1" ht="29.25">
      <c r="A581" s="31"/>
      <c r="B581" s="32"/>
      <c r="C581" s="31"/>
      <c r="D581" s="150" t="s">
        <v>158</v>
      </c>
      <c r="E581" s="31"/>
      <c r="F581" s="163" t="s">
        <v>730</v>
      </c>
      <c r="G581" s="31"/>
      <c r="H581" s="31"/>
      <c r="I581" s="279"/>
      <c r="J581" s="31"/>
      <c r="K581" s="31"/>
      <c r="L581" s="32"/>
      <c r="M581" s="164"/>
      <c r="N581" s="165"/>
      <c r="O581" s="52"/>
      <c r="P581" s="52"/>
      <c r="Q581" s="52"/>
      <c r="R581" s="52"/>
      <c r="S581" s="52"/>
      <c r="T581" s="53"/>
      <c r="U581" s="31"/>
      <c r="V581" s="31"/>
      <c r="W581" s="31"/>
      <c r="X581" s="31"/>
      <c r="Y581" s="31"/>
      <c r="Z581" s="31"/>
      <c r="AA581" s="31"/>
      <c r="AB581" s="31"/>
      <c r="AC581" s="31"/>
      <c r="AD581" s="31"/>
      <c r="AE581" s="31"/>
      <c r="AT581" s="19" t="s">
        <v>158</v>
      </c>
      <c r="AU581" s="19" t="s">
        <v>85</v>
      </c>
    </row>
    <row r="582" spans="2:51" s="13" customFormat="1" ht="12">
      <c r="B582" s="149"/>
      <c r="D582" s="150" t="s">
        <v>154</v>
      </c>
      <c r="E582" s="151" t="s">
        <v>3</v>
      </c>
      <c r="F582" s="152" t="s">
        <v>239</v>
      </c>
      <c r="H582" s="151" t="s">
        <v>3</v>
      </c>
      <c r="I582" s="282"/>
      <c r="L582" s="149"/>
      <c r="M582" s="153"/>
      <c r="N582" s="154"/>
      <c r="O582" s="154"/>
      <c r="P582" s="154"/>
      <c r="Q582" s="154"/>
      <c r="R582" s="154"/>
      <c r="S582" s="154"/>
      <c r="T582" s="155"/>
      <c r="AT582" s="151" t="s">
        <v>154</v>
      </c>
      <c r="AU582" s="151" t="s">
        <v>85</v>
      </c>
      <c r="AV582" s="13" t="s">
        <v>83</v>
      </c>
      <c r="AW582" s="13" t="s">
        <v>37</v>
      </c>
      <c r="AX582" s="13" t="s">
        <v>75</v>
      </c>
      <c r="AY582" s="151" t="s">
        <v>144</v>
      </c>
    </row>
    <row r="583" spans="2:51" s="13" customFormat="1" ht="12">
      <c r="B583" s="149"/>
      <c r="D583" s="150" t="s">
        <v>154</v>
      </c>
      <c r="E583" s="151" t="s">
        <v>3</v>
      </c>
      <c r="F583" s="152" t="s">
        <v>731</v>
      </c>
      <c r="H583" s="151" t="s">
        <v>3</v>
      </c>
      <c r="I583" s="282"/>
      <c r="L583" s="149"/>
      <c r="M583" s="153"/>
      <c r="N583" s="154"/>
      <c r="O583" s="154"/>
      <c r="P583" s="154"/>
      <c r="Q583" s="154"/>
      <c r="R583" s="154"/>
      <c r="S583" s="154"/>
      <c r="T583" s="155"/>
      <c r="AT583" s="151" t="s">
        <v>154</v>
      </c>
      <c r="AU583" s="151" t="s">
        <v>85</v>
      </c>
      <c r="AV583" s="13" t="s">
        <v>83</v>
      </c>
      <c r="AW583" s="13" t="s">
        <v>37</v>
      </c>
      <c r="AX583" s="13" t="s">
        <v>75</v>
      </c>
      <c r="AY583" s="151" t="s">
        <v>144</v>
      </c>
    </row>
    <row r="584" spans="2:51" s="13" customFormat="1" ht="12">
      <c r="B584" s="149"/>
      <c r="D584" s="150" t="s">
        <v>154</v>
      </c>
      <c r="E584" s="151" t="s">
        <v>3</v>
      </c>
      <c r="F584" s="152" t="s">
        <v>166</v>
      </c>
      <c r="H584" s="151" t="s">
        <v>3</v>
      </c>
      <c r="I584" s="282"/>
      <c r="L584" s="149"/>
      <c r="M584" s="153"/>
      <c r="N584" s="154"/>
      <c r="O584" s="154"/>
      <c r="P584" s="154"/>
      <c r="Q584" s="154"/>
      <c r="R584" s="154"/>
      <c r="S584" s="154"/>
      <c r="T584" s="155"/>
      <c r="AT584" s="151" t="s">
        <v>154</v>
      </c>
      <c r="AU584" s="151" t="s">
        <v>85</v>
      </c>
      <c r="AV584" s="13" t="s">
        <v>83</v>
      </c>
      <c r="AW584" s="13" t="s">
        <v>37</v>
      </c>
      <c r="AX584" s="13" t="s">
        <v>75</v>
      </c>
      <c r="AY584" s="151" t="s">
        <v>144</v>
      </c>
    </row>
    <row r="585" spans="2:51" s="14" customFormat="1" ht="22.5">
      <c r="B585" s="156"/>
      <c r="D585" s="150" t="s">
        <v>154</v>
      </c>
      <c r="E585" s="157" t="s">
        <v>3</v>
      </c>
      <c r="F585" s="158" t="s">
        <v>1920</v>
      </c>
      <c r="H585" s="159">
        <f>((3.1*2+1.3)*1.5+(0.8*2+1.3)*2.1)*2-0.88*1.5-0.78*1.5-2*0.9*0.45</f>
        <v>31.38</v>
      </c>
      <c r="I585" s="280"/>
      <c r="L585" s="156"/>
      <c r="M585" s="160"/>
      <c r="N585" s="161"/>
      <c r="O585" s="161"/>
      <c r="P585" s="161"/>
      <c r="Q585" s="161"/>
      <c r="R585" s="161"/>
      <c r="S585" s="161"/>
      <c r="T585" s="162"/>
      <c r="AT585" s="157" t="s">
        <v>154</v>
      </c>
      <c r="AU585" s="157" t="s">
        <v>85</v>
      </c>
      <c r="AV585" s="14" t="s">
        <v>85</v>
      </c>
      <c r="AW585" s="14" t="s">
        <v>37</v>
      </c>
      <c r="AX585" s="14" t="s">
        <v>75</v>
      </c>
      <c r="AY585" s="157" t="s">
        <v>144</v>
      </c>
    </row>
    <row r="586" spans="2:51" s="14" customFormat="1" ht="12">
      <c r="B586" s="156"/>
      <c r="D586" s="150" t="s">
        <v>154</v>
      </c>
      <c r="E586" s="157" t="s">
        <v>3</v>
      </c>
      <c r="F586" s="158" t="s">
        <v>1916</v>
      </c>
      <c r="H586" s="159">
        <f>(1.14+1.2+0.3)*1.5</f>
        <v>3.9599999999999995</v>
      </c>
      <c r="I586" s="280"/>
      <c r="L586" s="156"/>
      <c r="M586" s="160"/>
      <c r="N586" s="161"/>
      <c r="O586" s="161"/>
      <c r="P586" s="161"/>
      <c r="Q586" s="161"/>
      <c r="R586" s="161"/>
      <c r="S586" s="161"/>
      <c r="T586" s="162"/>
      <c r="AT586" s="157" t="s">
        <v>154</v>
      </c>
      <c r="AU586" s="157" t="s">
        <v>85</v>
      </c>
      <c r="AV586" s="14" t="s">
        <v>85</v>
      </c>
      <c r="AW586" s="14" t="s">
        <v>37</v>
      </c>
      <c r="AX586" s="14" t="s">
        <v>75</v>
      </c>
      <c r="AY586" s="157" t="s">
        <v>144</v>
      </c>
    </row>
    <row r="587" spans="2:51" s="14" customFormat="1" ht="12">
      <c r="B587" s="156"/>
      <c r="D587" s="150" t="s">
        <v>154</v>
      </c>
      <c r="E587" s="157" t="s">
        <v>3</v>
      </c>
      <c r="F587" s="158" t="s">
        <v>1917</v>
      </c>
      <c r="H587" s="159">
        <f>(1.37+0.89)*2*1.5-0.78*1.5</f>
        <v>5.610000000000001</v>
      </c>
      <c r="I587" s="280"/>
      <c r="L587" s="156"/>
      <c r="M587" s="160"/>
      <c r="N587" s="161"/>
      <c r="O587" s="161"/>
      <c r="P587" s="161"/>
      <c r="Q587" s="161"/>
      <c r="R587" s="161"/>
      <c r="S587" s="161"/>
      <c r="T587" s="162"/>
      <c r="AT587" s="157" t="s">
        <v>154</v>
      </c>
      <c r="AU587" s="157" t="s">
        <v>85</v>
      </c>
      <c r="AV587" s="14" t="s">
        <v>85</v>
      </c>
      <c r="AW587" s="14" t="s">
        <v>37</v>
      </c>
      <c r="AX587" s="14" t="s">
        <v>75</v>
      </c>
      <c r="AY587" s="157" t="s">
        <v>144</v>
      </c>
    </row>
    <row r="588" spans="2:51" s="14" customFormat="1" ht="12">
      <c r="B588" s="156"/>
      <c r="D588" s="150" t="s">
        <v>154</v>
      </c>
      <c r="E588" s="157" t="s">
        <v>3</v>
      </c>
      <c r="F588" s="158" t="s">
        <v>1918</v>
      </c>
      <c r="H588" s="159">
        <f>(1.48+0.89)*2*1.5-0.78*1.5</f>
        <v>5.94</v>
      </c>
      <c r="I588" s="280"/>
      <c r="L588" s="156"/>
      <c r="M588" s="160"/>
      <c r="N588" s="161"/>
      <c r="O588" s="161"/>
      <c r="P588" s="161"/>
      <c r="Q588" s="161"/>
      <c r="R588" s="161"/>
      <c r="S588" s="161"/>
      <c r="T588" s="162"/>
      <c r="AT588" s="157" t="s">
        <v>154</v>
      </c>
      <c r="AU588" s="157" t="s">
        <v>85</v>
      </c>
      <c r="AV588" s="14" t="s">
        <v>85</v>
      </c>
      <c r="AW588" s="14" t="s">
        <v>37</v>
      </c>
      <c r="AX588" s="14" t="s">
        <v>75</v>
      </c>
      <c r="AY588" s="157" t="s">
        <v>144</v>
      </c>
    </row>
    <row r="589" spans="2:51" s="14" customFormat="1" ht="12">
      <c r="B589" s="156"/>
      <c r="D589" s="150" t="s">
        <v>154</v>
      </c>
      <c r="E589" s="157" t="s">
        <v>3</v>
      </c>
      <c r="F589" s="158" t="s">
        <v>1919</v>
      </c>
      <c r="H589" s="159">
        <f>(0.99+0.85+0.925)*1.5</f>
        <v>4.147499999999999</v>
      </c>
      <c r="I589" s="280"/>
      <c r="L589" s="156"/>
      <c r="M589" s="160"/>
      <c r="N589" s="161"/>
      <c r="O589" s="161"/>
      <c r="P589" s="161"/>
      <c r="Q589" s="161"/>
      <c r="R589" s="161"/>
      <c r="S589" s="161"/>
      <c r="T589" s="162"/>
      <c r="AT589" s="157" t="s">
        <v>154</v>
      </c>
      <c r="AU589" s="157" t="s">
        <v>85</v>
      </c>
      <c r="AV589" s="14" t="s">
        <v>85</v>
      </c>
      <c r="AW589" s="14" t="s">
        <v>37</v>
      </c>
      <c r="AX589" s="14" t="s">
        <v>75</v>
      </c>
      <c r="AY589" s="157" t="s">
        <v>144</v>
      </c>
    </row>
    <row r="590" spans="2:51" s="16" customFormat="1" ht="12">
      <c r="B590" s="182"/>
      <c r="D590" s="150" t="s">
        <v>154</v>
      </c>
      <c r="E590" s="183" t="s">
        <v>3</v>
      </c>
      <c r="F590" s="184" t="s">
        <v>240</v>
      </c>
      <c r="H590" s="185">
        <f>SUM(H585:H589)</f>
        <v>51.037499999999994</v>
      </c>
      <c r="I590" s="283"/>
      <c r="L590" s="182"/>
      <c r="M590" s="186"/>
      <c r="N590" s="187"/>
      <c r="O590" s="187"/>
      <c r="P590" s="187"/>
      <c r="Q590" s="187"/>
      <c r="R590" s="187"/>
      <c r="S590" s="187"/>
      <c r="T590" s="188"/>
      <c r="AT590" s="183" t="s">
        <v>154</v>
      </c>
      <c r="AU590" s="183" t="s">
        <v>85</v>
      </c>
      <c r="AV590" s="16" t="s">
        <v>145</v>
      </c>
      <c r="AW590" s="16" t="s">
        <v>37</v>
      </c>
      <c r="AX590" s="16" t="s">
        <v>75</v>
      </c>
      <c r="AY590" s="183" t="s">
        <v>144</v>
      </c>
    </row>
    <row r="591" spans="2:51" s="13" customFormat="1" ht="12">
      <c r="B591" s="149"/>
      <c r="D591" s="150" t="s">
        <v>154</v>
      </c>
      <c r="E591" s="151" t="s">
        <v>3</v>
      </c>
      <c r="F591" s="152" t="s">
        <v>167</v>
      </c>
      <c r="H591" s="151" t="s">
        <v>3</v>
      </c>
      <c r="I591" s="282"/>
      <c r="L591" s="149"/>
      <c r="M591" s="153"/>
      <c r="N591" s="154"/>
      <c r="O591" s="154"/>
      <c r="P591" s="154"/>
      <c r="Q591" s="154"/>
      <c r="R591" s="154"/>
      <c r="S591" s="154"/>
      <c r="T591" s="155"/>
      <c r="AT591" s="151" t="s">
        <v>154</v>
      </c>
      <c r="AU591" s="151" t="s">
        <v>85</v>
      </c>
      <c r="AV591" s="13" t="s">
        <v>83</v>
      </c>
      <c r="AW591" s="13" t="s">
        <v>37</v>
      </c>
      <c r="AX591" s="13" t="s">
        <v>75</v>
      </c>
      <c r="AY591" s="151" t="s">
        <v>144</v>
      </c>
    </row>
    <row r="592" spans="2:51" s="14" customFormat="1" ht="12">
      <c r="B592" s="156"/>
      <c r="D592" s="150" t="s">
        <v>154</v>
      </c>
      <c r="E592" s="157" t="s">
        <v>3</v>
      </c>
      <c r="F592" s="158" t="s">
        <v>1921</v>
      </c>
      <c r="H592" s="159">
        <f>(2.02+1.6)*2*2.1-0.88*2.01</f>
        <v>13.4352</v>
      </c>
      <c r="I592" s="280"/>
      <c r="L592" s="156"/>
      <c r="M592" s="160"/>
      <c r="N592" s="161"/>
      <c r="O592" s="161"/>
      <c r="P592" s="161"/>
      <c r="Q592" s="161"/>
      <c r="R592" s="161"/>
      <c r="S592" s="161"/>
      <c r="T592" s="162"/>
      <c r="AT592" s="157" t="s">
        <v>154</v>
      </c>
      <c r="AU592" s="157" t="s">
        <v>85</v>
      </c>
      <c r="AV592" s="14" t="s">
        <v>85</v>
      </c>
      <c r="AW592" s="14" t="s">
        <v>37</v>
      </c>
      <c r="AX592" s="14" t="s">
        <v>75</v>
      </c>
      <c r="AY592" s="157" t="s">
        <v>144</v>
      </c>
    </row>
    <row r="593" spans="2:51" s="14" customFormat="1" ht="12">
      <c r="B593" s="156"/>
      <c r="D593" s="150" t="s">
        <v>154</v>
      </c>
      <c r="E593" s="157" t="s">
        <v>3</v>
      </c>
      <c r="F593" s="158" t="s">
        <v>1922</v>
      </c>
      <c r="H593" s="159">
        <f>(1.8+1.6)*2*2.1-0.78*2.01-0.9*1.2</f>
        <v>11.632200000000003</v>
      </c>
      <c r="I593" s="280"/>
      <c r="L593" s="156"/>
      <c r="M593" s="160"/>
      <c r="N593" s="161"/>
      <c r="O593" s="161"/>
      <c r="P593" s="161"/>
      <c r="Q593" s="161"/>
      <c r="R593" s="161"/>
      <c r="S593" s="161"/>
      <c r="T593" s="162"/>
      <c r="AT593" s="157" t="s">
        <v>154</v>
      </c>
      <c r="AU593" s="157" t="s">
        <v>85</v>
      </c>
      <c r="AV593" s="14" t="s">
        <v>85</v>
      </c>
      <c r="AW593" s="14" t="s">
        <v>37</v>
      </c>
      <c r="AX593" s="14" t="s">
        <v>75</v>
      </c>
      <c r="AY593" s="157" t="s">
        <v>144</v>
      </c>
    </row>
    <row r="594" spans="2:51" s="16" customFormat="1" ht="12">
      <c r="B594" s="182"/>
      <c r="D594" s="150" t="s">
        <v>154</v>
      </c>
      <c r="E594" s="183" t="s">
        <v>3</v>
      </c>
      <c r="F594" s="184" t="s">
        <v>240</v>
      </c>
      <c r="H594" s="185">
        <f>H592+H593</f>
        <v>25.067400000000003</v>
      </c>
      <c r="I594" s="283"/>
      <c r="L594" s="182"/>
      <c r="M594" s="186"/>
      <c r="N594" s="187"/>
      <c r="O594" s="187"/>
      <c r="P594" s="187"/>
      <c r="Q594" s="187"/>
      <c r="R594" s="187"/>
      <c r="S594" s="187"/>
      <c r="T594" s="188"/>
      <c r="AT594" s="183" t="s">
        <v>154</v>
      </c>
      <c r="AU594" s="183" t="s">
        <v>85</v>
      </c>
      <c r="AV594" s="16" t="s">
        <v>145</v>
      </c>
      <c r="AW594" s="16" t="s">
        <v>37</v>
      </c>
      <c r="AX594" s="16" t="s">
        <v>75</v>
      </c>
      <c r="AY594" s="183" t="s">
        <v>144</v>
      </c>
    </row>
    <row r="595" spans="2:51" s="15" customFormat="1" ht="12">
      <c r="B595" s="166"/>
      <c r="D595" s="150" t="s">
        <v>154</v>
      </c>
      <c r="E595" s="167" t="s">
        <v>3</v>
      </c>
      <c r="F595" s="168" t="s">
        <v>161</v>
      </c>
      <c r="H595" s="169">
        <f>H590+H594</f>
        <v>76.1049</v>
      </c>
      <c r="I595" s="284"/>
      <c r="L595" s="166"/>
      <c r="M595" s="170"/>
      <c r="N595" s="171"/>
      <c r="O595" s="171"/>
      <c r="P595" s="171"/>
      <c r="Q595" s="171"/>
      <c r="R595" s="171"/>
      <c r="S595" s="171"/>
      <c r="T595" s="172"/>
      <c r="AT595" s="167" t="s">
        <v>154</v>
      </c>
      <c r="AU595" s="167" t="s">
        <v>85</v>
      </c>
      <c r="AV595" s="15" t="s">
        <v>152</v>
      </c>
      <c r="AW595" s="15" t="s">
        <v>37</v>
      </c>
      <c r="AX595" s="15" t="s">
        <v>83</v>
      </c>
      <c r="AY595" s="167" t="s">
        <v>144</v>
      </c>
    </row>
    <row r="596" spans="1:65" s="2" customFormat="1" ht="37.9" customHeight="1">
      <c r="A596" s="31"/>
      <c r="B596" s="136"/>
      <c r="C596" s="173" t="s">
        <v>732</v>
      </c>
      <c r="D596" s="173" t="s">
        <v>174</v>
      </c>
      <c r="E596" s="174" t="s">
        <v>598</v>
      </c>
      <c r="F596" s="175" t="s">
        <v>599</v>
      </c>
      <c r="G596" s="176" t="s">
        <v>183</v>
      </c>
      <c r="H596" s="177">
        <f>H598</f>
        <v>95.131125</v>
      </c>
      <c r="I596" s="281"/>
      <c r="J596" s="178">
        <f>ROUND(I596*H596,2)</f>
        <v>0</v>
      </c>
      <c r="K596" s="175" t="s">
        <v>151</v>
      </c>
      <c r="L596" s="179"/>
      <c r="M596" s="180" t="s">
        <v>3</v>
      </c>
      <c r="N596" s="181" t="s">
        <v>46</v>
      </c>
      <c r="O596" s="145">
        <v>0</v>
      </c>
      <c r="P596" s="145">
        <f>O596*H596</f>
        <v>0</v>
      </c>
      <c r="Q596" s="145">
        <v>0.025</v>
      </c>
      <c r="R596" s="145">
        <f>Q596*H596</f>
        <v>2.378278125</v>
      </c>
      <c r="S596" s="145">
        <v>0</v>
      </c>
      <c r="T596" s="146">
        <f>S596*H596</f>
        <v>0</v>
      </c>
      <c r="U596" s="31"/>
      <c r="V596" s="31"/>
      <c r="W596" s="31"/>
      <c r="X596" s="31"/>
      <c r="Y596" s="31"/>
      <c r="Z596" s="31"/>
      <c r="AA596" s="31"/>
      <c r="AB596" s="31"/>
      <c r="AC596" s="31"/>
      <c r="AD596" s="31"/>
      <c r="AE596" s="31"/>
      <c r="AR596" s="147" t="s">
        <v>248</v>
      </c>
      <c r="AT596" s="147" t="s">
        <v>174</v>
      </c>
      <c r="AU596" s="147" t="s">
        <v>85</v>
      </c>
      <c r="AY596" s="19" t="s">
        <v>144</v>
      </c>
      <c r="BE596" s="148">
        <f>IF(N596="základní",J596,0)</f>
        <v>0</v>
      </c>
      <c r="BF596" s="148">
        <f>IF(N596="snížená",J596,0)</f>
        <v>0</v>
      </c>
      <c r="BG596" s="148">
        <f>IF(N596="zákl. přenesená",J596,0)</f>
        <v>0</v>
      </c>
      <c r="BH596" s="148">
        <f>IF(N596="sníž. přenesená",J596,0)</f>
        <v>0</v>
      </c>
      <c r="BI596" s="148">
        <f>IF(N596="nulová",J596,0)</f>
        <v>0</v>
      </c>
      <c r="BJ596" s="19" t="s">
        <v>83</v>
      </c>
      <c r="BK596" s="148">
        <f>ROUND(I596*H596,2)</f>
        <v>0</v>
      </c>
      <c r="BL596" s="19" t="s">
        <v>218</v>
      </c>
      <c r="BM596" s="147" t="s">
        <v>733</v>
      </c>
    </row>
    <row r="597" spans="1:47" s="2" customFormat="1" ht="29.25">
      <c r="A597" s="31"/>
      <c r="B597" s="32"/>
      <c r="C597" s="31"/>
      <c r="D597" s="150" t="s">
        <v>270</v>
      </c>
      <c r="E597" s="31"/>
      <c r="F597" s="163" t="s">
        <v>601</v>
      </c>
      <c r="G597" s="31"/>
      <c r="H597" s="31"/>
      <c r="I597" s="279"/>
      <c r="J597" s="31"/>
      <c r="K597" s="31"/>
      <c r="L597" s="32"/>
      <c r="M597" s="164"/>
      <c r="N597" s="165"/>
      <c r="O597" s="52"/>
      <c r="P597" s="52"/>
      <c r="Q597" s="52"/>
      <c r="R597" s="52"/>
      <c r="S597" s="52"/>
      <c r="T597" s="53"/>
      <c r="U597" s="31"/>
      <c r="V597" s="31"/>
      <c r="W597" s="31"/>
      <c r="X597" s="31"/>
      <c r="Y597" s="31"/>
      <c r="Z597" s="31"/>
      <c r="AA597" s="31"/>
      <c r="AB597" s="31"/>
      <c r="AC597" s="31"/>
      <c r="AD597" s="31"/>
      <c r="AE597" s="31"/>
      <c r="AT597" s="19" t="s">
        <v>270</v>
      </c>
      <c r="AU597" s="19" t="s">
        <v>85</v>
      </c>
    </row>
    <row r="598" spans="2:51" s="14" customFormat="1" ht="12">
      <c r="B598" s="156"/>
      <c r="D598" s="150" t="s">
        <v>154</v>
      </c>
      <c r="F598" s="158" t="s">
        <v>1923</v>
      </c>
      <c r="H598" s="159">
        <f>H580*1.25</f>
        <v>95.131125</v>
      </c>
      <c r="I598" s="280"/>
      <c r="L598" s="156"/>
      <c r="M598" s="160"/>
      <c r="N598" s="161"/>
      <c r="O598" s="161"/>
      <c r="P598" s="161"/>
      <c r="Q598" s="161"/>
      <c r="R598" s="161"/>
      <c r="S598" s="161"/>
      <c r="T598" s="162"/>
      <c r="AT598" s="157" t="s">
        <v>154</v>
      </c>
      <c r="AU598" s="157" t="s">
        <v>85</v>
      </c>
      <c r="AV598" s="14" t="s">
        <v>85</v>
      </c>
      <c r="AW598" s="14" t="s">
        <v>4</v>
      </c>
      <c r="AX598" s="14" t="s">
        <v>83</v>
      </c>
      <c r="AY598" s="157" t="s">
        <v>144</v>
      </c>
    </row>
    <row r="599" spans="1:65" s="2" customFormat="1" ht="37.9" customHeight="1">
      <c r="A599" s="31"/>
      <c r="B599" s="136"/>
      <c r="C599" s="137" t="s">
        <v>734</v>
      </c>
      <c r="D599" s="137" t="s">
        <v>147</v>
      </c>
      <c r="E599" s="138" t="s">
        <v>735</v>
      </c>
      <c r="F599" s="139" t="s">
        <v>736</v>
      </c>
      <c r="G599" s="140" t="s">
        <v>183</v>
      </c>
      <c r="H599" s="141">
        <f>H580</f>
        <v>76.1049</v>
      </c>
      <c r="I599" s="278"/>
      <c r="J599" s="142">
        <f>ROUND(I599*H599,2)</f>
        <v>0</v>
      </c>
      <c r="K599" s="139" t="s">
        <v>157</v>
      </c>
      <c r="L599" s="32"/>
      <c r="M599" s="143" t="s">
        <v>3</v>
      </c>
      <c r="N599" s="144" t="s">
        <v>46</v>
      </c>
      <c r="O599" s="145">
        <v>1.35</v>
      </c>
      <c r="P599" s="145">
        <f>O599*H599</f>
        <v>102.74161500000001</v>
      </c>
      <c r="Q599" s="145">
        <v>0.009</v>
      </c>
      <c r="R599" s="145">
        <f>Q599*H599</f>
        <v>0.6849441</v>
      </c>
      <c r="S599" s="145">
        <v>0</v>
      </c>
      <c r="T599" s="146">
        <f>S599*H599</f>
        <v>0</v>
      </c>
      <c r="U599" s="31"/>
      <c r="V599" s="31"/>
      <c r="W599" s="31"/>
      <c r="X599" s="31"/>
      <c r="Y599" s="31"/>
      <c r="Z599" s="31"/>
      <c r="AA599" s="31"/>
      <c r="AB599" s="31"/>
      <c r="AC599" s="31"/>
      <c r="AD599" s="31"/>
      <c r="AE599" s="31"/>
      <c r="AR599" s="147" t="s">
        <v>218</v>
      </c>
      <c r="AT599" s="147" t="s">
        <v>147</v>
      </c>
      <c r="AU599" s="147" t="s">
        <v>85</v>
      </c>
      <c r="AY599" s="19" t="s">
        <v>144</v>
      </c>
      <c r="BE599" s="148">
        <f>IF(N599="základní",J599,0)</f>
        <v>0</v>
      </c>
      <c r="BF599" s="148">
        <f>IF(N599="snížená",J599,0)</f>
        <v>0</v>
      </c>
      <c r="BG599" s="148">
        <f>IF(N599="zákl. přenesená",J599,0)</f>
        <v>0</v>
      </c>
      <c r="BH599" s="148">
        <f>IF(N599="sníž. přenesená",J599,0)</f>
        <v>0</v>
      </c>
      <c r="BI599" s="148">
        <f>IF(N599="nulová",J599,0)</f>
        <v>0</v>
      </c>
      <c r="BJ599" s="19" t="s">
        <v>83</v>
      </c>
      <c r="BK599" s="148">
        <f>ROUND(I599*H599,2)</f>
        <v>0</v>
      </c>
      <c r="BL599" s="19" t="s">
        <v>218</v>
      </c>
      <c r="BM599" s="147" t="s">
        <v>737</v>
      </c>
    </row>
    <row r="600" spans="1:47" s="2" customFormat="1" ht="29.25">
      <c r="A600" s="31"/>
      <c r="B600" s="32"/>
      <c r="C600" s="31"/>
      <c r="D600" s="150" t="s">
        <v>158</v>
      </c>
      <c r="E600" s="31"/>
      <c r="F600" s="163" t="s">
        <v>730</v>
      </c>
      <c r="G600" s="31"/>
      <c r="H600" s="31"/>
      <c r="I600" s="279"/>
      <c r="J600" s="31"/>
      <c r="K600" s="31"/>
      <c r="L600" s="32"/>
      <c r="M600" s="164"/>
      <c r="N600" s="165"/>
      <c r="O600" s="52"/>
      <c r="P600" s="52"/>
      <c r="Q600" s="52"/>
      <c r="R600" s="52"/>
      <c r="S600" s="52"/>
      <c r="T600" s="53"/>
      <c r="U600" s="31"/>
      <c r="V600" s="31"/>
      <c r="W600" s="31"/>
      <c r="X600" s="31"/>
      <c r="Y600" s="31"/>
      <c r="Z600" s="31"/>
      <c r="AA600" s="31"/>
      <c r="AB600" s="31"/>
      <c r="AC600" s="31"/>
      <c r="AD600" s="31"/>
      <c r="AE600" s="31"/>
      <c r="AT600" s="19" t="s">
        <v>158</v>
      </c>
      <c r="AU600" s="19" t="s">
        <v>85</v>
      </c>
    </row>
    <row r="601" spans="1:65" s="2" customFormat="1" ht="24.2" customHeight="1">
      <c r="A601" s="31"/>
      <c r="B601" s="136"/>
      <c r="C601" s="137" t="s">
        <v>738</v>
      </c>
      <c r="D601" s="137" t="s">
        <v>147</v>
      </c>
      <c r="E601" s="138" t="s">
        <v>739</v>
      </c>
      <c r="F601" s="139" t="s">
        <v>740</v>
      </c>
      <c r="G601" s="140" t="s">
        <v>183</v>
      </c>
      <c r="H601" s="141">
        <f>H586+H587+H588+H589</f>
        <v>19.6575</v>
      </c>
      <c r="I601" s="278"/>
      <c r="J601" s="142">
        <f>ROUND(I601*H601,2)</f>
        <v>0</v>
      </c>
      <c r="K601" s="139" t="s">
        <v>157</v>
      </c>
      <c r="L601" s="32"/>
      <c r="M601" s="143" t="s">
        <v>3</v>
      </c>
      <c r="N601" s="144" t="s">
        <v>46</v>
      </c>
      <c r="O601" s="145">
        <v>0.13</v>
      </c>
      <c r="P601" s="145">
        <f>O601*H601</f>
        <v>2.555475</v>
      </c>
      <c r="Q601" s="145">
        <v>0</v>
      </c>
      <c r="R601" s="145">
        <f>Q601*H601</f>
        <v>0</v>
      </c>
      <c r="S601" s="145">
        <v>0</v>
      </c>
      <c r="T601" s="146">
        <f>S601*H601</f>
        <v>0</v>
      </c>
      <c r="U601" s="31"/>
      <c r="V601" s="31"/>
      <c r="W601" s="31"/>
      <c r="X601" s="31"/>
      <c r="Y601" s="31"/>
      <c r="Z601" s="31"/>
      <c r="AA601" s="31"/>
      <c r="AB601" s="31"/>
      <c r="AC601" s="31"/>
      <c r="AD601" s="31"/>
      <c r="AE601" s="31"/>
      <c r="AR601" s="147" t="s">
        <v>218</v>
      </c>
      <c r="AT601" s="147" t="s">
        <v>147</v>
      </c>
      <c r="AU601" s="147" t="s">
        <v>85</v>
      </c>
      <c r="AY601" s="19" t="s">
        <v>144</v>
      </c>
      <c r="BE601" s="148">
        <f>IF(N601="základní",J601,0)</f>
        <v>0</v>
      </c>
      <c r="BF601" s="148">
        <f>IF(N601="snížená",J601,0)</f>
        <v>0</v>
      </c>
      <c r="BG601" s="148">
        <f>IF(N601="zákl. přenesená",J601,0)</f>
        <v>0</v>
      </c>
      <c r="BH601" s="148">
        <f>IF(N601="sníž. přenesená",J601,0)</f>
        <v>0</v>
      </c>
      <c r="BI601" s="148">
        <f>IF(N601="nulová",J601,0)</f>
        <v>0</v>
      </c>
      <c r="BJ601" s="19" t="s">
        <v>83</v>
      </c>
      <c r="BK601" s="148">
        <f>ROUND(I601*H601,2)</f>
        <v>0</v>
      </c>
      <c r="BL601" s="19" t="s">
        <v>218</v>
      </c>
      <c r="BM601" s="147" t="s">
        <v>741</v>
      </c>
    </row>
    <row r="602" spans="1:47" s="2" customFormat="1" ht="29.25">
      <c r="A602" s="31"/>
      <c r="B602" s="32"/>
      <c r="C602" s="31"/>
      <c r="D602" s="150" t="s">
        <v>158</v>
      </c>
      <c r="E602" s="31"/>
      <c r="F602" s="163" t="s">
        <v>730</v>
      </c>
      <c r="G602" s="31"/>
      <c r="H602" s="31"/>
      <c r="I602" s="279"/>
      <c r="J602" s="31"/>
      <c r="K602" s="31"/>
      <c r="L602" s="32"/>
      <c r="M602" s="164"/>
      <c r="N602" s="165"/>
      <c r="O602" s="52"/>
      <c r="P602" s="52"/>
      <c r="Q602" s="52"/>
      <c r="R602" s="52"/>
      <c r="S602" s="52"/>
      <c r="T602" s="53"/>
      <c r="U602" s="31"/>
      <c r="V602" s="31"/>
      <c r="W602" s="31"/>
      <c r="X602" s="31"/>
      <c r="Y602" s="31"/>
      <c r="Z602" s="31"/>
      <c r="AA602" s="31"/>
      <c r="AB602" s="31"/>
      <c r="AC602" s="31"/>
      <c r="AD602" s="31"/>
      <c r="AE602" s="31"/>
      <c r="AT602" s="19" t="s">
        <v>158</v>
      </c>
      <c r="AU602" s="19" t="s">
        <v>85</v>
      </c>
    </row>
    <row r="603" spans="1:65" s="2" customFormat="1" ht="24.2" customHeight="1">
      <c r="A603" s="31"/>
      <c r="B603" s="136"/>
      <c r="C603" s="137" t="s">
        <v>742</v>
      </c>
      <c r="D603" s="137" t="s">
        <v>147</v>
      </c>
      <c r="E603" s="138" t="s">
        <v>743</v>
      </c>
      <c r="F603" s="139" t="s">
        <v>744</v>
      </c>
      <c r="G603" s="140" t="s">
        <v>183</v>
      </c>
      <c r="H603" s="141">
        <f>H580</f>
        <v>76.1049</v>
      </c>
      <c r="I603" s="278"/>
      <c r="J603" s="142">
        <f>ROUND(I603*H603,2)</f>
        <v>0</v>
      </c>
      <c r="K603" s="139" t="s">
        <v>157</v>
      </c>
      <c r="L603" s="32"/>
      <c r="M603" s="143" t="s">
        <v>3</v>
      </c>
      <c r="N603" s="144" t="s">
        <v>46</v>
      </c>
      <c r="O603" s="145">
        <v>0.1</v>
      </c>
      <c r="P603" s="145">
        <f>O603*H603</f>
        <v>7.61049</v>
      </c>
      <c r="Q603" s="145">
        <v>0</v>
      </c>
      <c r="R603" s="145">
        <f>Q603*H603</f>
        <v>0</v>
      </c>
      <c r="S603" s="145">
        <v>0</v>
      </c>
      <c r="T603" s="146">
        <f>S603*H603</f>
        <v>0</v>
      </c>
      <c r="U603" s="31"/>
      <c r="V603" s="31"/>
      <c r="W603" s="31"/>
      <c r="X603" s="31"/>
      <c r="Y603" s="31"/>
      <c r="Z603" s="31"/>
      <c r="AA603" s="31"/>
      <c r="AB603" s="31"/>
      <c r="AC603" s="31"/>
      <c r="AD603" s="31"/>
      <c r="AE603" s="31"/>
      <c r="AR603" s="147" t="s">
        <v>218</v>
      </c>
      <c r="AT603" s="147" t="s">
        <v>147</v>
      </c>
      <c r="AU603" s="147" t="s">
        <v>85</v>
      </c>
      <c r="AY603" s="19" t="s">
        <v>144</v>
      </c>
      <c r="BE603" s="148">
        <f>IF(N603="základní",J603,0)</f>
        <v>0</v>
      </c>
      <c r="BF603" s="148">
        <f>IF(N603="snížená",J603,0)</f>
        <v>0</v>
      </c>
      <c r="BG603" s="148">
        <f>IF(N603="zákl. přenesená",J603,0)</f>
        <v>0</v>
      </c>
      <c r="BH603" s="148">
        <f>IF(N603="sníž. přenesená",J603,0)</f>
        <v>0</v>
      </c>
      <c r="BI603" s="148">
        <f>IF(N603="nulová",J603,0)</f>
        <v>0</v>
      </c>
      <c r="BJ603" s="19" t="s">
        <v>83</v>
      </c>
      <c r="BK603" s="148">
        <f>ROUND(I603*H603,2)</f>
        <v>0</v>
      </c>
      <c r="BL603" s="19" t="s">
        <v>218</v>
      </c>
      <c r="BM603" s="147" t="s">
        <v>745</v>
      </c>
    </row>
    <row r="604" spans="1:47" s="2" customFormat="1" ht="29.25">
      <c r="A604" s="31"/>
      <c r="B604" s="32"/>
      <c r="C604" s="31"/>
      <c r="D604" s="150" t="s">
        <v>158</v>
      </c>
      <c r="E604" s="31"/>
      <c r="F604" s="163" t="s">
        <v>730</v>
      </c>
      <c r="G604" s="31"/>
      <c r="H604" s="31"/>
      <c r="I604" s="279"/>
      <c r="J604" s="31"/>
      <c r="K604" s="31"/>
      <c r="L604" s="32"/>
      <c r="M604" s="164"/>
      <c r="N604" s="165"/>
      <c r="O604" s="52"/>
      <c r="P604" s="52"/>
      <c r="Q604" s="52"/>
      <c r="R604" s="52"/>
      <c r="S604" s="52"/>
      <c r="T604" s="53"/>
      <c r="U604" s="31"/>
      <c r="V604" s="31"/>
      <c r="W604" s="31"/>
      <c r="X604" s="31"/>
      <c r="Y604" s="31"/>
      <c r="Z604" s="31"/>
      <c r="AA604" s="31"/>
      <c r="AB604" s="31"/>
      <c r="AC604" s="31"/>
      <c r="AD604" s="31"/>
      <c r="AE604" s="31"/>
      <c r="AT604" s="19" t="s">
        <v>158</v>
      </c>
      <c r="AU604" s="19" t="s">
        <v>85</v>
      </c>
    </row>
    <row r="605" spans="1:65" s="2" customFormat="1" ht="24.2" customHeight="1">
      <c r="A605" s="31"/>
      <c r="B605" s="136"/>
      <c r="C605" s="137" t="s">
        <v>746</v>
      </c>
      <c r="D605" s="137" t="s">
        <v>147</v>
      </c>
      <c r="E605" s="138" t="s">
        <v>747</v>
      </c>
      <c r="F605" s="139" t="s">
        <v>748</v>
      </c>
      <c r="G605" s="140" t="s">
        <v>201</v>
      </c>
      <c r="H605" s="141">
        <f>H612</f>
        <v>81.05199999999999</v>
      </c>
      <c r="I605" s="278"/>
      <c r="J605" s="142">
        <f>ROUND(I605*H605,2)</f>
        <v>0</v>
      </c>
      <c r="K605" s="139" t="s">
        <v>157</v>
      </c>
      <c r="L605" s="32"/>
      <c r="M605" s="143" t="s">
        <v>3</v>
      </c>
      <c r="N605" s="144" t="s">
        <v>46</v>
      </c>
      <c r="O605" s="145">
        <v>0.248</v>
      </c>
      <c r="P605" s="145">
        <f>O605*H605</f>
        <v>20.100896</v>
      </c>
      <c r="Q605" s="145">
        <v>0.00055</v>
      </c>
      <c r="R605" s="145">
        <f>Q605*H605</f>
        <v>0.044578599999999996</v>
      </c>
      <c r="S605" s="145">
        <v>0</v>
      </c>
      <c r="T605" s="146">
        <f>S605*H605</f>
        <v>0</v>
      </c>
      <c r="U605" s="31"/>
      <c r="V605" s="31"/>
      <c r="W605" s="31"/>
      <c r="X605" s="31"/>
      <c r="Y605" s="31"/>
      <c r="Z605" s="31"/>
      <c r="AA605" s="31"/>
      <c r="AB605" s="31"/>
      <c r="AC605" s="31"/>
      <c r="AD605" s="31"/>
      <c r="AE605" s="31"/>
      <c r="AR605" s="147" t="s">
        <v>218</v>
      </c>
      <c r="AT605" s="147" t="s">
        <v>147</v>
      </c>
      <c r="AU605" s="147" t="s">
        <v>85</v>
      </c>
      <c r="AY605" s="19" t="s">
        <v>144</v>
      </c>
      <c r="BE605" s="148">
        <f>IF(N605="základní",J605,0)</f>
        <v>0</v>
      </c>
      <c r="BF605" s="148">
        <f>IF(N605="snížená",J605,0)</f>
        <v>0</v>
      </c>
      <c r="BG605" s="148">
        <f>IF(N605="zákl. přenesená",J605,0)</f>
        <v>0</v>
      </c>
      <c r="BH605" s="148">
        <f>IF(N605="sníž. přenesená",J605,0)</f>
        <v>0</v>
      </c>
      <c r="BI605" s="148">
        <f>IF(N605="nulová",J605,0)</f>
        <v>0</v>
      </c>
      <c r="BJ605" s="19" t="s">
        <v>83</v>
      </c>
      <c r="BK605" s="148">
        <f>ROUND(I605*H605,2)</f>
        <v>0</v>
      </c>
      <c r="BL605" s="19" t="s">
        <v>218</v>
      </c>
      <c r="BM605" s="147" t="s">
        <v>749</v>
      </c>
    </row>
    <row r="606" spans="1:47" s="2" customFormat="1" ht="58.5">
      <c r="A606" s="31"/>
      <c r="B606" s="32"/>
      <c r="C606" s="31"/>
      <c r="D606" s="150" t="s">
        <v>158</v>
      </c>
      <c r="E606" s="31"/>
      <c r="F606" s="163" t="s">
        <v>750</v>
      </c>
      <c r="G606" s="31"/>
      <c r="H606" s="31"/>
      <c r="I606" s="279"/>
      <c r="J606" s="31"/>
      <c r="K606" s="31"/>
      <c r="L606" s="32"/>
      <c r="M606" s="164"/>
      <c r="N606" s="165"/>
      <c r="O606" s="52"/>
      <c r="P606" s="52"/>
      <c r="Q606" s="52"/>
      <c r="R606" s="52"/>
      <c r="S606" s="52"/>
      <c r="T606" s="53"/>
      <c r="U606" s="31"/>
      <c r="V606" s="31"/>
      <c r="W606" s="31"/>
      <c r="X606" s="31"/>
      <c r="Y606" s="31"/>
      <c r="Z606" s="31"/>
      <c r="AA606" s="31"/>
      <c r="AB606" s="31"/>
      <c r="AC606" s="31"/>
      <c r="AD606" s="31"/>
      <c r="AE606" s="31"/>
      <c r="AT606" s="19" t="s">
        <v>158</v>
      </c>
      <c r="AU606" s="19" t="s">
        <v>85</v>
      </c>
    </row>
    <row r="607" spans="2:51" s="13" customFormat="1" ht="12">
      <c r="B607" s="149"/>
      <c r="D607" s="150" t="s">
        <v>154</v>
      </c>
      <c r="E607" s="151" t="s">
        <v>3</v>
      </c>
      <c r="F607" s="152" t="s">
        <v>239</v>
      </c>
      <c r="H607" s="151" t="s">
        <v>3</v>
      </c>
      <c r="I607" s="282"/>
      <c r="L607" s="149"/>
      <c r="M607" s="153"/>
      <c r="N607" s="154"/>
      <c r="O607" s="154"/>
      <c r="P607" s="154"/>
      <c r="Q607" s="154"/>
      <c r="R607" s="154"/>
      <c r="S607" s="154"/>
      <c r="T607" s="155"/>
      <c r="AT607" s="151" t="s">
        <v>154</v>
      </c>
      <c r="AU607" s="151" t="s">
        <v>85</v>
      </c>
      <c r="AV607" s="13" t="s">
        <v>83</v>
      </c>
      <c r="AW607" s="13" t="s">
        <v>37</v>
      </c>
      <c r="AX607" s="13" t="s">
        <v>75</v>
      </c>
      <c r="AY607" s="151" t="s">
        <v>144</v>
      </c>
    </row>
    <row r="608" spans="2:51" s="13" customFormat="1" ht="12">
      <c r="B608" s="149"/>
      <c r="D608" s="150" t="s">
        <v>154</v>
      </c>
      <c r="E608" s="151" t="s">
        <v>3</v>
      </c>
      <c r="F608" s="152" t="s">
        <v>166</v>
      </c>
      <c r="H608" s="151" t="s">
        <v>3</v>
      </c>
      <c r="I608" s="282"/>
      <c r="L608" s="149"/>
      <c r="M608" s="153"/>
      <c r="N608" s="154"/>
      <c r="O608" s="154"/>
      <c r="P608" s="154"/>
      <c r="Q608" s="154"/>
      <c r="R608" s="154"/>
      <c r="S608" s="154"/>
      <c r="T608" s="155"/>
      <c r="AT608" s="151" t="s">
        <v>154</v>
      </c>
      <c r="AU608" s="151" t="s">
        <v>85</v>
      </c>
      <c r="AV608" s="13" t="s">
        <v>83</v>
      </c>
      <c r="AW608" s="13" t="s">
        <v>37</v>
      </c>
      <c r="AX608" s="13" t="s">
        <v>75</v>
      </c>
      <c r="AY608" s="151" t="s">
        <v>144</v>
      </c>
    </row>
    <row r="609" spans="2:51" s="14" customFormat="1" ht="12">
      <c r="B609" s="156"/>
      <c r="D609" s="150" t="s">
        <v>154</v>
      </c>
      <c r="E609" s="157" t="s">
        <v>3</v>
      </c>
      <c r="F609" s="158" t="s">
        <v>1924</v>
      </c>
      <c r="H609" s="159">
        <f>10.4+10.4+4.672+12+4.52+4.74+11.6+8.68</f>
        <v>67.012</v>
      </c>
      <c r="I609" s="280"/>
      <c r="L609" s="156"/>
      <c r="M609" s="160"/>
      <c r="N609" s="161"/>
      <c r="O609" s="161"/>
      <c r="P609" s="161"/>
      <c r="Q609" s="161"/>
      <c r="R609" s="161"/>
      <c r="S609" s="161"/>
      <c r="T609" s="162"/>
      <c r="AT609" s="157" t="s">
        <v>154</v>
      </c>
      <c r="AU609" s="157" t="s">
        <v>85</v>
      </c>
      <c r="AV609" s="14" t="s">
        <v>85</v>
      </c>
      <c r="AW609" s="14" t="s">
        <v>37</v>
      </c>
      <c r="AX609" s="14" t="s">
        <v>75</v>
      </c>
      <c r="AY609" s="157" t="s">
        <v>144</v>
      </c>
    </row>
    <row r="610" spans="2:51" s="13" customFormat="1" ht="12">
      <c r="B610" s="149"/>
      <c r="D610" s="150" t="s">
        <v>154</v>
      </c>
      <c r="E610" s="151" t="s">
        <v>3</v>
      </c>
      <c r="F610" s="152" t="s">
        <v>167</v>
      </c>
      <c r="H610" s="151" t="s">
        <v>3</v>
      </c>
      <c r="I610" s="282"/>
      <c r="L610" s="149"/>
      <c r="M610" s="153"/>
      <c r="N610" s="154"/>
      <c r="O610" s="154"/>
      <c r="P610" s="154"/>
      <c r="Q610" s="154"/>
      <c r="R610" s="154"/>
      <c r="S610" s="154"/>
      <c r="T610" s="155"/>
      <c r="AT610" s="151" t="s">
        <v>154</v>
      </c>
      <c r="AU610" s="151" t="s">
        <v>85</v>
      </c>
      <c r="AV610" s="13" t="s">
        <v>83</v>
      </c>
      <c r="AW610" s="13" t="s">
        <v>37</v>
      </c>
      <c r="AX610" s="13" t="s">
        <v>75</v>
      </c>
      <c r="AY610" s="151" t="s">
        <v>144</v>
      </c>
    </row>
    <row r="611" spans="2:51" s="14" customFormat="1" ht="12">
      <c r="B611" s="156"/>
      <c r="D611" s="150" t="s">
        <v>154</v>
      </c>
      <c r="E611" s="157" t="s">
        <v>3</v>
      </c>
      <c r="F611" s="158" t="s">
        <v>1908</v>
      </c>
      <c r="H611" s="159">
        <f>7.24+6.8</f>
        <v>14.04</v>
      </c>
      <c r="I611" s="280"/>
      <c r="L611" s="156"/>
      <c r="M611" s="160"/>
      <c r="N611" s="161"/>
      <c r="O611" s="161"/>
      <c r="P611" s="161"/>
      <c r="Q611" s="161"/>
      <c r="R611" s="161"/>
      <c r="S611" s="161"/>
      <c r="T611" s="162"/>
      <c r="AT611" s="157" t="s">
        <v>154</v>
      </c>
      <c r="AU611" s="157" t="s">
        <v>85</v>
      </c>
      <c r="AV611" s="14" t="s">
        <v>85</v>
      </c>
      <c r="AW611" s="14" t="s">
        <v>37</v>
      </c>
      <c r="AX611" s="14" t="s">
        <v>75</v>
      </c>
      <c r="AY611" s="157" t="s">
        <v>144</v>
      </c>
    </row>
    <row r="612" spans="2:51" s="15" customFormat="1" ht="12">
      <c r="B612" s="166"/>
      <c r="D612" s="150" t="s">
        <v>154</v>
      </c>
      <c r="E612" s="167" t="s">
        <v>3</v>
      </c>
      <c r="F612" s="168" t="s">
        <v>161</v>
      </c>
      <c r="H612" s="169">
        <f>H609+H611</f>
        <v>81.05199999999999</v>
      </c>
      <c r="I612" s="284"/>
      <c r="L612" s="166"/>
      <c r="M612" s="170"/>
      <c r="N612" s="171"/>
      <c r="O612" s="171"/>
      <c r="P612" s="171"/>
      <c r="Q612" s="171"/>
      <c r="R612" s="171"/>
      <c r="S612" s="171"/>
      <c r="T612" s="172"/>
      <c r="AT612" s="167" t="s">
        <v>154</v>
      </c>
      <c r="AU612" s="167" t="s">
        <v>85</v>
      </c>
      <c r="AV612" s="15" t="s">
        <v>152</v>
      </c>
      <c r="AW612" s="15" t="s">
        <v>37</v>
      </c>
      <c r="AX612" s="15" t="s">
        <v>83</v>
      </c>
      <c r="AY612" s="167" t="s">
        <v>144</v>
      </c>
    </row>
    <row r="613" spans="1:65" s="2" customFormat="1" ht="24.2" customHeight="1">
      <c r="A613" s="31"/>
      <c r="B613" s="136"/>
      <c r="C613" s="137" t="s">
        <v>751</v>
      </c>
      <c r="D613" s="137" t="s">
        <v>147</v>
      </c>
      <c r="E613" s="138" t="s">
        <v>752</v>
      </c>
      <c r="F613" s="139" t="s">
        <v>753</v>
      </c>
      <c r="G613" s="140" t="s">
        <v>201</v>
      </c>
      <c r="H613" s="141">
        <f>H605</f>
        <v>81.05199999999999</v>
      </c>
      <c r="I613" s="278"/>
      <c r="J613" s="142">
        <f>ROUND(I613*H613,2)</f>
        <v>0</v>
      </c>
      <c r="K613" s="139" t="s">
        <v>157</v>
      </c>
      <c r="L613" s="32"/>
      <c r="M613" s="143" t="s">
        <v>3</v>
      </c>
      <c r="N613" s="144" t="s">
        <v>46</v>
      </c>
      <c r="O613" s="145">
        <v>0.16</v>
      </c>
      <c r="P613" s="145">
        <f>O613*H613</f>
        <v>12.968319999999999</v>
      </c>
      <c r="Q613" s="145">
        <v>0.0005</v>
      </c>
      <c r="R613" s="145">
        <f>Q613*H613</f>
        <v>0.040526</v>
      </c>
      <c r="S613" s="145">
        <v>0</v>
      </c>
      <c r="T613" s="146">
        <f>S613*H613</f>
        <v>0</v>
      </c>
      <c r="U613" s="31"/>
      <c r="V613" s="31"/>
      <c r="W613" s="31"/>
      <c r="X613" s="31"/>
      <c r="Y613" s="31"/>
      <c r="Z613" s="31"/>
      <c r="AA613" s="31"/>
      <c r="AB613" s="31"/>
      <c r="AC613" s="31"/>
      <c r="AD613" s="31"/>
      <c r="AE613" s="31"/>
      <c r="AR613" s="147" t="s">
        <v>218</v>
      </c>
      <c r="AT613" s="147" t="s">
        <v>147</v>
      </c>
      <c r="AU613" s="147" t="s">
        <v>85</v>
      </c>
      <c r="AY613" s="19" t="s">
        <v>144</v>
      </c>
      <c r="BE613" s="148">
        <f>IF(N613="základní",J613,0)</f>
        <v>0</v>
      </c>
      <c r="BF613" s="148">
        <f>IF(N613="snížená",J613,0)</f>
        <v>0</v>
      </c>
      <c r="BG613" s="148">
        <f>IF(N613="zákl. přenesená",J613,0)</f>
        <v>0</v>
      </c>
      <c r="BH613" s="148">
        <f>IF(N613="sníž. přenesená",J613,0)</f>
        <v>0</v>
      </c>
      <c r="BI613" s="148">
        <f>IF(N613="nulová",J613,0)</f>
        <v>0</v>
      </c>
      <c r="BJ613" s="19" t="s">
        <v>83</v>
      </c>
      <c r="BK613" s="148">
        <f>ROUND(I613*H613,2)</f>
        <v>0</v>
      </c>
      <c r="BL613" s="19" t="s">
        <v>218</v>
      </c>
      <c r="BM613" s="147" t="s">
        <v>754</v>
      </c>
    </row>
    <row r="614" spans="1:47" s="2" customFormat="1" ht="58.5">
      <c r="A614" s="31"/>
      <c r="B614" s="32"/>
      <c r="C614" s="31"/>
      <c r="D614" s="150" t="s">
        <v>158</v>
      </c>
      <c r="E614" s="31"/>
      <c r="F614" s="163" t="s">
        <v>750</v>
      </c>
      <c r="G614" s="31"/>
      <c r="H614" s="31"/>
      <c r="I614" s="279"/>
      <c r="J614" s="31"/>
      <c r="K614" s="31"/>
      <c r="L614" s="32"/>
      <c r="M614" s="164"/>
      <c r="N614" s="165"/>
      <c r="O614" s="52"/>
      <c r="P614" s="52"/>
      <c r="Q614" s="52"/>
      <c r="R614" s="52"/>
      <c r="S614" s="52"/>
      <c r="T614" s="53"/>
      <c r="U614" s="31"/>
      <c r="V614" s="31"/>
      <c r="W614" s="31"/>
      <c r="X614" s="31"/>
      <c r="Y614" s="31"/>
      <c r="Z614" s="31"/>
      <c r="AA614" s="31"/>
      <c r="AB614" s="31"/>
      <c r="AC614" s="31"/>
      <c r="AD614" s="31"/>
      <c r="AE614" s="31"/>
      <c r="AT614" s="19" t="s">
        <v>158</v>
      </c>
      <c r="AU614" s="19" t="s">
        <v>85</v>
      </c>
    </row>
    <row r="615" spans="1:65" s="2" customFormat="1" ht="24.2" customHeight="1">
      <c r="A615" s="31"/>
      <c r="B615" s="136"/>
      <c r="C615" s="137" t="s">
        <v>755</v>
      </c>
      <c r="D615" s="137" t="s">
        <v>147</v>
      </c>
      <c r="E615" s="138" t="s">
        <v>756</v>
      </c>
      <c r="F615" s="139" t="s">
        <v>757</v>
      </c>
      <c r="G615" s="140" t="s">
        <v>156</v>
      </c>
      <c r="H615" s="141">
        <f>H622</f>
        <v>32</v>
      </c>
      <c r="I615" s="278"/>
      <c r="J615" s="142">
        <f>ROUND(I615*H615,2)</f>
        <v>0</v>
      </c>
      <c r="K615" s="139" t="s">
        <v>157</v>
      </c>
      <c r="L615" s="32"/>
      <c r="M615" s="143" t="s">
        <v>3</v>
      </c>
      <c r="N615" s="144" t="s">
        <v>46</v>
      </c>
      <c r="O615" s="145">
        <v>0.1</v>
      </c>
      <c r="P615" s="145">
        <f>O615*H615</f>
        <v>3.2</v>
      </c>
      <c r="Q615" s="145">
        <v>0</v>
      </c>
      <c r="R615" s="145">
        <f>Q615*H615</f>
        <v>0</v>
      </c>
      <c r="S615" s="145">
        <v>0</v>
      </c>
      <c r="T615" s="146">
        <f>S615*H615</f>
        <v>0</v>
      </c>
      <c r="U615" s="31"/>
      <c r="V615" s="31"/>
      <c r="W615" s="31"/>
      <c r="X615" s="31"/>
      <c r="Y615" s="31"/>
      <c r="Z615" s="31"/>
      <c r="AA615" s="31"/>
      <c r="AB615" s="31"/>
      <c r="AC615" s="31"/>
      <c r="AD615" s="31"/>
      <c r="AE615" s="31"/>
      <c r="AR615" s="147" t="s">
        <v>218</v>
      </c>
      <c r="AT615" s="147" t="s">
        <v>147</v>
      </c>
      <c r="AU615" s="147" t="s">
        <v>85</v>
      </c>
      <c r="AY615" s="19" t="s">
        <v>144</v>
      </c>
      <c r="BE615" s="148">
        <f>IF(N615="základní",J615,0)</f>
        <v>0</v>
      </c>
      <c r="BF615" s="148">
        <f>IF(N615="snížená",J615,0)</f>
        <v>0</v>
      </c>
      <c r="BG615" s="148">
        <f>IF(N615="zákl. přenesená",J615,0)</f>
        <v>0</v>
      </c>
      <c r="BH615" s="148">
        <f>IF(N615="sníž. přenesená",J615,0)</f>
        <v>0</v>
      </c>
      <c r="BI615" s="148">
        <f>IF(N615="nulová",J615,0)</f>
        <v>0</v>
      </c>
      <c r="BJ615" s="19" t="s">
        <v>83</v>
      </c>
      <c r="BK615" s="148">
        <f>ROUND(I615*H615,2)</f>
        <v>0</v>
      </c>
      <c r="BL615" s="19" t="s">
        <v>218</v>
      </c>
      <c r="BM615" s="147" t="s">
        <v>758</v>
      </c>
    </row>
    <row r="616" spans="1:47" s="2" customFormat="1" ht="58.5">
      <c r="A616" s="31"/>
      <c r="B616" s="32"/>
      <c r="C616" s="31"/>
      <c r="D616" s="150" t="s">
        <v>158</v>
      </c>
      <c r="E616" s="31"/>
      <c r="F616" s="163" t="s">
        <v>750</v>
      </c>
      <c r="G616" s="31"/>
      <c r="H616" s="31"/>
      <c r="I616" s="279"/>
      <c r="J616" s="31"/>
      <c r="K616" s="31"/>
      <c r="L616" s="32"/>
      <c r="M616" s="164"/>
      <c r="N616" s="165"/>
      <c r="O616" s="52"/>
      <c r="P616" s="52"/>
      <c r="Q616" s="52"/>
      <c r="R616" s="52"/>
      <c r="S616" s="52"/>
      <c r="T616" s="53"/>
      <c r="U616" s="31"/>
      <c r="V616" s="31"/>
      <c r="W616" s="31"/>
      <c r="X616" s="31"/>
      <c r="Y616" s="31"/>
      <c r="Z616" s="31"/>
      <c r="AA616" s="31"/>
      <c r="AB616" s="31"/>
      <c r="AC616" s="31"/>
      <c r="AD616" s="31"/>
      <c r="AE616" s="31"/>
      <c r="AT616" s="19" t="s">
        <v>158</v>
      </c>
      <c r="AU616" s="19" t="s">
        <v>85</v>
      </c>
    </row>
    <row r="617" spans="2:51" s="13" customFormat="1" ht="12">
      <c r="B617" s="149"/>
      <c r="D617" s="150" t="s">
        <v>154</v>
      </c>
      <c r="E617" s="151" t="s">
        <v>3</v>
      </c>
      <c r="F617" s="152" t="s">
        <v>239</v>
      </c>
      <c r="H617" s="151" t="s">
        <v>3</v>
      </c>
      <c r="I617" s="282"/>
      <c r="L617" s="149"/>
      <c r="M617" s="153"/>
      <c r="N617" s="154"/>
      <c r="O617" s="154"/>
      <c r="P617" s="154"/>
      <c r="Q617" s="154"/>
      <c r="R617" s="154"/>
      <c r="S617" s="154"/>
      <c r="T617" s="155"/>
      <c r="AT617" s="151" t="s">
        <v>154</v>
      </c>
      <c r="AU617" s="151" t="s">
        <v>85</v>
      </c>
      <c r="AV617" s="13" t="s">
        <v>83</v>
      </c>
      <c r="AW617" s="13" t="s">
        <v>37</v>
      </c>
      <c r="AX617" s="13" t="s">
        <v>75</v>
      </c>
      <c r="AY617" s="151" t="s">
        <v>144</v>
      </c>
    </row>
    <row r="618" spans="2:51" s="13" customFormat="1" ht="12">
      <c r="B618" s="149"/>
      <c r="D618" s="150" t="s">
        <v>154</v>
      </c>
      <c r="E618" s="151" t="s">
        <v>3</v>
      </c>
      <c r="F618" s="152" t="s">
        <v>166</v>
      </c>
      <c r="H618" s="151" t="s">
        <v>3</v>
      </c>
      <c r="I618" s="282"/>
      <c r="L618" s="149"/>
      <c r="M618" s="153"/>
      <c r="N618" s="154"/>
      <c r="O618" s="154"/>
      <c r="P618" s="154"/>
      <c r="Q618" s="154"/>
      <c r="R618" s="154"/>
      <c r="S618" s="154"/>
      <c r="T618" s="155"/>
      <c r="AT618" s="151" t="s">
        <v>154</v>
      </c>
      <c r="AU618" s="151" t="s">
        <v>85</v>
      </c>
      <c r="AV618" s="13" t="s">
        <v>83</v>
      </c>
      <c r="AW618" s="13" t="s">
        <v>37</v>
      </c>
      <c r="AX618" s="13" t="s">
        <v>75</v>
      </c>
      <c r="AY618" s="151" t="s">
        <v>144</v>
      </c>
    </row>
    <row r="619" spans="2:51" s="14" customFormat="1" ht="12">
      <c r="B619" s="156"/>
      <c r="D619" s="150" t="s">
        <v>154</v>
      </c>
      <c r="E619" s="157" t="s">
        <v>3</v>
      </c>
      <c r="F619" s="158" t="s">
        <v>1925</v>
      </c>
      <c r="H619" s="159">
        <f>2+2+1+1+2+2+2+1+1+2+2+2</f>
        <v>20</v>
      </c>
      <c r="I619" s="280"/>
      <c r="L619" s="156"/>
      <c r="M619" s="160"/>
      <c r="N619" s="161"/>
      <c r="O619" s="161"/>
      <c r="P619" s="161"/>
      <c r="Q619" s="161"/>
      <c r="R619" s="161"/>
      <c r="S619" s="161"/>
      <c r="T619" s="162"/>
      <c r="AT619" s="157" t="s">
        <v>154</v>
      </c>
      <c r="AU619" s="157" t="s">
        <v>85</v>
      </c>
      <c r="AV619" s="14" t="s">
        <v>85</v>
      </c>
      <c r="AW619" s="14" t="s">
        <v>37</v>
      </c>
      <c r="AX619" s="14" t="s">
        <v>75</v>
      </c>
      <c r="AY619" s="157" t="s">
        <v>144</v>
      </c>
    </row>
    <row r="620" spans="2:51" s="13" customFormat="1" ht="12">
      <c r="B620" s="149"/>
      <c r="D620" s="150" t="s">
        <v>154</v>
      </c>
      <c r="E620" s="151" t="s">
        <v>3</v>
      </c>
      <c r="F620" s="152" t="s">
        <v>167</v>
      </c>
      <c r="H620" s="151" t="s">
        <v>3</v>
      </c>
      <c r="I620" s="282"/>
      <c r="L620" s="149"/>
      <c r="M620" s="153"/>
      <c r="N620" s="154"/>
      <c r="O620" s="154"/>
      <c r="P620" s="154"/>
      <c r="Q620" s="154"/>
      <c r="R620" s="154"/>
      <c r="S620" s="154"/>
      <c r="T620" s="155"/>
      <c r="AT620" s="151" t="s">
        <v>154</v>
      </c>
      <c r="AU620" s="151" t="s">
        <v>85</v>
      </c>
      <c r="AV620" s="13" t="s">
        <v>83</v>
      </c>
      <c r="AW620" s="13" t="s">
        <v>37</v>
      </c>
      <c r="AX620" s="13" t="s">
        <v>75</v>
      </c>
      <c r="AY620" s="151" t="s">
        <v>144</v>
      </c>
    </row>
    <row r="621" spans="2:51" s="14" customFormat="1" ht="12">
      <c r="B621" s="156"/>
      <c r="D621" s="150" t="s">
        <v>154</v>
      </c>
      <c r="E621" s="157" t="s">
        <v>3</v>
      </c>
      <c r="F621" s="158" t="s">
        <v>1926</v>
      </c>
      <c r="H621" s="159">
        <f>2+1+1+2+2+2+2</f>
        <v>12</v>
      </c>
      <c r="I621" s="280"/>
      <c r="L621" s="156"/>
      <c r="M621" s="160"/>
      <c r="N621" s="161"/>
      <c r="O621" s="161"/>
      <c r="P621" s="161"/>
      <c r="Q621" s="161"/>
      <c r="R621" s="161"/>
      <c r="S621" s="161"/>
      <c r="T621" s="162"/>
      <c r="AT621" s="157" t="s">
        <v>154</v>
      </c>
      <c r="AU621" s="157" t="s">
        <v>85</v>
      </c>
      <c r="AV621" s="14" t="s">
        <v>85</v>
      </c>
      <c r="AW621" s="14" t="s">
        <v>37</v>
      </c>
      <c r="AX621" s="14" t="s">
        <v>75</v>
      </c>
      <c r="AY621" s="157" t="s">
        <v>144</v>
      </c>
    </row>
    <row r="622" spans="2:51" s="15" customFormat="1" ht="12">
      <c r="B622" s="166"/>
      <c r="D622" s="150" t="s">
        <v>154</v>
      </c>
      <c r="E622" s="167" t="s">
        <v>3</v>
      </c>
      <c r="F622" s="168" t="s">
        <v>161</v>
      </c>
      <c r="H622" s="169">
        <f>H619+H621</f>
        <v>32</v>
      </c>
      <c r="I622" s="284"/>
      <c r="L622" s="166"/>
      <c r="M622" s="170"/>
      <c r="N622" s="171"/>
      <c r="O622" s="171"/>
      <c r="P622" s="171"/>
      <c r="Q622" s="171"/>
      <c r="R622" s="171"/>
      <c r="S622" s="171"/>
      <c r="T622" s="172"/>
      <c r="AT622" s="167" t="s">
        <v>154</v>
      </c>
      <c r="AU622" s="167" t="s">
        <v>85</v>
      </c>
      <c r="AV622" s="15" t="s">
        <v>152</v>
      </c>
      <c r="AW622" s="15" t="s">
        <v>37</v>
      </c>
      <c r="AX622" s="15" t="s">
        <v>83</v>
      </c>
      <c r="AY622" s="167" t="s">
        <v>144</v>
      </c>
    </row>
    <row r="623" spans="1:65" s="2" customFormat="1" ht="24.2" customHeight="1">
      <c r="A623" s="31"/>
      <c r="B623" s="136"/>
      <c r="C623" s="137" t="s">
        <v>759</v>
      </c>
      <c r="D623" s="137" t="s">
        <v>147</v>
      </c>
      <c r="E623" s="138" t="s">
        <v>760</v>
      </c>
      <c r="F623" s="139" t="s">
        <v>761</v>
      </c>
      <c r="G623" s="140" t="s">
        <v>156</v>
      </c>
      <c r="H623" s="141">
        <f>H630</f>
        <v>13</v>
      </c>
      <c r="I623" s="278"/>
      <c r="J623" s="142">
        <f>ROUND(I623*H623,2)</f>
        <v>0</v>
      </c>
      <c r="K623" s="139" t="s">
        <v>157</v>
      </c>
      <c r="L623" s="32"/>
      <c r="M623" s="143" t="s">
        <v>3</v>
      </c>
      <c r="N623" s="144" t="s">
        <v>46</v>
      </c>
      <c r="O623" s="145">
        <v>0.12</v>
      </c>
      <c r="P623" s="145">
        <f>O623*H623</f>
        <v>1.56</v>
      </c>
      <c r="Q623" s="145">
        <v>0</v>
      </c>
      <c r="R623" s="145">
        <f>Q623*H623</f>
        <v>0</v>
      </c>
      <c r="S623" s="145">
        <v>0</v>
      </c>
      <c r="T623" s="146">
        <f>S623*H623</f>
        <v>0</v>
      </c>
      <c r="U623" s="31"/>
      <c r="V623" s="31"/>
      <c r="W623" s="31"/>
      <c r="X623" s="31"/>
      <c r="Y623" s="31"/>
      <c r="Z623" s="31"/>
      <c r="AA623" s="31"/>
      <c r="AB623" s="31"/>
      <c r="AC623" s="31"/>
      <c r="AD623" s="31"/>
      <c r="AE623" s="31"/>
      <c r="AR623" s="147" t="s">
        <v>218</v>
      </c>
      <c r="AT623" s="147" t="s">
        <v>147</v>
      </c>
      <c r="AU623" s="147" t="s">
        <v>85</v>
      </c>
      <c r="AY623" s="19" t="s">
        <v>144</v>
      </c>
      <c r="BE623" s="148">
        <f>IF(N623="základní",J623,0)</f>
        <v>0</v>
      </c>
      <c r="BF623" s="148">
        <f>IF(N623="snížená",J623,0)</f>
        <v>0</v>
      </c>
      <c r="BG623" s="148">
        <f>IF(N623="zákl. přenesená",J623,0)</f>
        <v>0</v>
      </c>
      <c r="BH623" s="148">
        <f>IF(N623="sníž. přenesená",J623,0)</f>
        <v>0</v>
      </c>
      <c r="BI623" s="148">
        <f>IF(N623="nulová",J623,0)</f>
        <v>0</v>
      </c>
      <c r="BJ623" s="19" t="s">
        <v>83</v>
      </c>
      <c r="BK623" s="148">
        <f>ROUND(I623*H623,2)</f>
        <v>0</v>
      </c>
      <c r="BL623" s="19" t="s">
        <v>218</v>
      </c>
      <c r="BM623" s="147" t="s">
        <v>762</v>
      </c>
    </row>
    <row r="624" spans="1:47" s="2" customFormat="1" ht="58.5">
      <c r="A624" s="31"/>
      <c r="B624" s="32"/>
      <c r="C624" s="31"/>
      <c r="D624" s="150" t="s">
        <v>158</v>
      </c>
      <c r="E624" s="31"/>
      <c r="F624" s="163" t="s">
        <v>750</v>
      </c>
      <c r="G624" s="31"/>
      <c r="H624" s="31"/>
      <c r="I624" s="279"/>
      <c r="J624" s="31"/>
      <c r="K624" s="31"/>
      <c r="L624" s="32"/>
      <c r="M624" s="164"/>
      <c r="N624" s="165"/>
      <c r="O624" s="52"/>
      <c r="P624" s="52"/>
      <c r="Q624" s="52"/>
      <c r="R624" s="52"/>
      <c r="S624" s="52"/>
      <c r="T624" s="53"/>
      <c r="U624" s="31"/>
      <c r="V624" s="31"/>
      <c r="W624" s="31"/>
      <c r="X624" s="31"/>
      <c r="Y624" s="31"/>
      <c r="Z624" s="31"/>
      <c r="AA624" s="31"/>
      <c r="AB624" s="31"/>
      <c r="AC624" s="31"/>
      <c r="AD624" s="31"/>
      <c r="AE624" s="31"/>
      <c r="AT624" s="19" t="s">
        <v>158</v>
      </c>
      <c r="AU624" s="19" t="s">
        <v>85</v>
      </c>
    </row>
    <row r="625" spans="2:51" s="13" customFormat="1" ht="12">
      <c r="B625" s="149"/>
      <c r="D625" s="150" t="s">
        <v>154</v>
      </c>
      <c r="E625" s="151" t="s">
        <v>3</v>
      </c>
      <c r="F625" s="152" t="s">
        <v>239</v>
      </c>
      <c r="H625" s="151" t="s">
        <v>3</v>
      </c>
      <c r="I625" s="282"/>
      <c r="L625" s="149"/>
      <c r="M625" s="153"/>
      <c r="N625" s="154"/>
      <c r="O625" s="154"/>
      <c r="P625" s="154"/>
      <c r="Q625" s="154"/>
      <c r="R625" s="154"/>
      <c r="S625" s="154"/>
      <c r="T625" s="155"/>
      <c r="AT625" s="151" t="s">
        <v>154</v>
      </c>
      <c r="AU625" s="151" t="s">
        <v>85</v>
      </c>
      <c r="AV625" s="13" t="s">
        <v>83</v>
      </c>
      <c r="AW625" s="13" t="s">
        <v>37</v>
      </c>
      <c r="AX625" s="13" t="s">
        <v>75</v>
      </c>
      <c r="AY625" s="151" t="s">
        <v>144</v>
      </c>
    </row>
    <row r="626" spans="2:51" s="13" customFormat="1" ht="12">
      <c r="B626" s="149"/>
      <c r="D626" s="150" t="s">
        <v>154</v>
      </c>
      <c r="E626" s="151" t="s">
        <v>3</v>
      </c>
      <c r="F626" s="152" t="s">
        <v>166</v>
      </c>
      <c r="H626" s="151" t="s">
        <v>3</v>
      </c>
      <c r="I626" s="282"/>
      <c r="L626" s="149"/>
      <c r="M626" s="153"/>
      <c r="N626" s="154"/>
      <c r="O626" s="154"/>
      <c r="P626" s="154"/>
      <c r="Q626" s="154"/>
      <c r="R626" s="154"/>
      <c r="S626" s="154"/>
      <c r="T626" s="155"/>
      <c r="AT626" s="151" t="s">
        <v>154</v>
      </c>
      <c r="AU626" s="151" t="s">
        <v>85</v>
      </c>
      <c r="AV626" s="13" t="s">
        <v>83</v>
      </c>
      <c r="AW626" s="13" t="s">
        <v>37</v>
      </c>
      <c r="AX626" s="13" t="s">
        <v>75</v>
      </c>
      <c r="AY626" s="151" t="s">
        <v>144</v>
      </c>
    </row>
    <row r="627" spans="2:51" s="14" customFormat="1" ht="12">
      <c r="B627" s="156"/>
      <c r="D627" s="150" t="s">
        <v>154</v>
      </c>
      <c r="E627" s="157" t="s">
        <v>3</v>
      </c>
      <c r="F627" s="158">
        <v>8</v>
      </c>
      <c r="H627" s="159">
        <v>8</v>
      </c>
      <c r="I627" s="280"/>
      <c r="L627" s="156"/>
      <c r="M627" s="160"/>
      <c r="N627" s="161"/>
      <c r="O627" s="161"/>
      <c r="P627" s="161"/>
      <c r="Q627" s="161"/>
      <c r="R627" s="161"/>
      <c r="S627" s="161"/>
      <c r="T627" s="162"/>
      <c r="AT627" s="157" t="s">
        <v>154</v>
      </c>
      <c r="AU627" s="157" t="s">
        <v>85</v>
      </c>
      <c r="AV627" s="14" t="s">
        <v>85</v>
      </c>
      <c r="AW627" s="14" t="s">
        <v>37</v>
      </c>
      <c r="AX627" s="14" t="s">
        <v>75</v>
      </c>
      <c r="AY627" s="157" t="s">
        <v>144</v>
      </c>
    </row>
    <row r="628" spans="2:51" s="13" customFormat="1" ht="12">
      <c r="B628" s="149"/>
      <c r="D628" s="150" t="s">
        <v>154</v>
      </c>
      <c r="E628" s="151" t="s">
        <v>3</v>
      </c>
      <c r="F628" s="152" t="s">
        <v>167</v>
      </c>
      <c r="H628" s="151" t="s">
        <v>3</v>
      </c>
      <c r="I628" s="282"/>
      <c r="L628" s="149"/>
      <c r="M628" s="153"/>
      <c r="N628" s="154"/>
      <c r="O628" s="154"/>
      <c r="P628" s="154"/>
      <c r="Q628" s="154"/>
      <c r="R628" s="154"/>
      <c r="S628" s="154"/>
      <c r="T628" s="155"/>
      <c r="AT628" s="151" t="s">
        <v>154</v>
      </c>
      <c r="AU628" s="151" t="s">
        <v>85</v>
      </c>
      <c r="AV628" s="13" t="s">
        <v>83</v>
      </c>
      <c r="AW628" s="13" t="s">
        <v>37</v>
      </c>
      <c r="AX628" s="13" t="s">
        <v>75</v>
      </c>
      <c r="AY628" s="151" t="s">
        <v>144</v>
      </c>
    </row>
    <row r="629" spans="2:51" s="14" customFormat="1" ht="12">
      <c r="B629" s="156"/>
      <c r="D629" s="150" t="s">
        <v>154</v>
      </c>
      <c r="E629" s="157" t="s">
        <v>3</v>
      </c>
      <c r="F629" s="158">
        <v>5</v>
      </c>
      <c r="H629" s="159">
        <v>5</v>
      </c>
      <c r="I629" s="280"/>
      <c r="L629" s="156"/>
      <c r="M629" s="160"/>
      <c r="N629" s="161"/>
      <c r="O629" s="161"/>
      <c r="P629" s="161"/>
      <c r="Q629" s="161"/>
      <c r="R629" s="161"/>
      <c r="S629" s="161"/>
      <c r="T629" s="162"/>
      <c r="AT629" s="157" t="s">
        <v>154</v>
      </c>
      <c r="AU629" s="157" t="s">
        <v>85</v>
      </c>
      <c r="AV629" s="14" t="s">
        <v>85</v>
      </c>
      <c r="AW629" s="14" t="s">
        <v>37</v>
      </c>
      <c r="AX629" s="14" t="s">
        <v>75</v>
      </c>
      <c r="AY629" s="157" t="s">
        <v>144</v>
      </c>
    </row>
    <row r="630" spans="2:51" s="15" customFormat="1" ht="12">
      <c r="B630" s="166"/>
      <c r="D630" s="150" t="s">
        <v>154</v>
      </c>
      <c r="E630" s="167" t="s">
        <v>3</v>
      </c>
      <c r="F630" s="168" t="s">
        <v>161</v>
      </c>
      <c r="H630" s="169">
        <v>13</v>
      </c>
      <c r="I630" s="284"/>
      <c r="L630" s="166"/>
      <c r="M630" s="170"/>
      <c r="N630" s="171"/>
      <c r="O630" s="171"/>
      <c r="P630" s="171"/>
      <c r="Q630" s="171"/>
      <c r="R630" s="171"/>
      <c r="S630" s="171"/>
      <c r="T630" s="172"/>
      <c r="AT630" s="167" t="s">
        <v>154</v>
      </c>
      <c r="AU630" s="167" t="s">
        <v>85</v>
      </c>
      <c r="AV630" s="15" t="s">
        <v>152</v>
      </c>
      <c r="AW630" s="15" t="s">
        <v>37</v>
      </c>
      <c r="AX630" s="15" t="s">
        <v>83</v>
      </c>
      <c r="AY630" s="167" t="s">
        <v>144</v>
      </c>
    </row>
    <row r="631" spans="1:65" s="2" customFormat="1" ht="24.2" customHeight="1">
      <c r="A631" s="31"/>
      <c r="B631" s="136"/>
      <c r="C631" s="137" t="s">
        <v>763</v>
      </c>
      <c r="D631" s="137" t="s">
        <v>147</v>
      </c>
      <c r="E631" s="138" t="s">
        <v>764</v>
      </c>
      <c r="F631" s="139" t="s">
        <v>765</v>
      </c>
      <c r="G631" s="140" t="s">
        <v>156</v>
      </c>
      <c r="H631" s="141">
        <f>H638</f>
        <v>6</v>
      </c>
      <c r="I631" s="278"/>
      <c r="J631" s="142">
        <f>ROUND(I631*H631,2)</f>
        <v>0</v>
      </c>
      <c r="K631" s="139" t="s">
        <v>157</v>
      </c>
      <c r="L631" s="32"/>
      <c r="M631" s="143" t="s">
        <v>3</v>
      </c>
      <c r="N631" s="144" t="s">
        <v>46</v>
      </c>
      <c r="O631" s="145">
        <v>0.14</v>
      </c>
      <c r="P631" s="145">
        <f>O631*H631</f>
        <v>0.8400000000000001</v>
      </c>
      <c r="Q631" s="145">
        <v>0</v>
      </c>
      <c r="R631" s="145">
        <f>Q631*H631</f>
        <v>0</v>
      </c>
      <c r="S631" s="145">
        <v>0</v>
      </c>
      <c r="T631" s="146">
        <f>S631*H631</f>
        <v>0</v>
      </c>
      <c r="U631" s="31"/>
      <c r="V631" s="31"/>
      <c r="W631" s="31"/>
      <c r="X631" s="31"/>
      <c r="Y631" s="31"/>
      <c r="Z631" s="31"/>
      <c r="AA631" s="31"/>
      <c r="AB631" s="31"/>
      <c r="AC631" s="31"/>
      <c r="AD631" s="31"/>
      <c r="AE631" s="31"/>
      <c r="AR631" s="147" t="s">
        <v>218</v>
      </c>
      <c r="AT631" s="147" t="s">
        <v>147</v>
      </c>
      <c r="AU631" s="147" t="s">
        <v>85</v>
      </c>
      <c r="AY631" s="19" t="s">
        <v>144</v>
      </c>
      <c r="BE631" s="148">
        <f>IF(N631="základní",J631,0)</f>
        <v>0</v>
      </c>
      <c r="BF631" s="148">
        <f>IF(N631="snížená",J631,0)</f>
        <v>0</v>
      </c>
      <c r="BG631" s="148">
        <f>IF(N631="zákl. přenesená",J631,0)</f>
        <v>0</v>
      </c>
      <c r="BH631" s="148">
        <f>IF(N631="sníž. přenesená",J631,0)</f>
        <v>0</v>
      </c>
      <c r="BI631" s="148">
        <f>IF(N631="nulová",J631,0)</f>
        <v>0</v>
      </c>
      <c r="BJ631" s="19" t="s">
        <v>83</v>
      </c>
      <c r="BK631" s="148">
        <f>ROUND(I631*H631,2)</f>
        <v>0</v>
      </c>
      <c r="BL631" s="19" t="s">
        <v>218</v>
      </c>
      <c r="BM631" s="147" t="s">
        <v>766</v>
      </c>
    </row>
    <row r="632" spans="1:47" s="2" customFormat="1" ht="58.5">
      <c r="A632" s="31"/>
      <c r="B632" s="32"/>
      <c r="C632" s="31"/>
      <c r="D632" s="150" t="s">
        <v>158</v>
      </c>
      <c r="E632" s="31"/>
      <c r="F632" s="163" t="s">
        <v>750</v>
      </c>
      <c r="G632" s="31"/>
      <c r="H632" s="31"/>
      <c r="I632" s="279"/>
      <c r="J632" s="31"/>
      <c r="K632" s="31"/>
      <c r="L632" s="32"/>
      <c r="M632" s="164"/>
      <c r="N632" s="165"/>
      <c r="O632" s="52"/>
      <c r="P632" s="52"/>
      <c r="Q632" s="52"/>
      <c r="R632" s="52"/>
      <c r="S632" s="52"/>
      <c r="T632" s="53"/>
      <c r="U632" s="31"/>
      <c r="V632" s="31"/>
      <c r="W632" s="31"/>
      <c r="X632" s="31"/>
      <c r="Y632" s="31"/>
      <c r="Z632" s="31"/>
      <c r="AA632" s="31"/>
      <c r="AB632" s="31"/>
      <c r="AC632" s="31"/>
      <c r="AD632" s="31"/>
      <c r="AE632" s="31"/>
      <c r="AT632" s="19" t="s">
        <v>158</v>
      </c>
      <c r="AU632" s="19" t="s">
        <v>85</v>
      </c>
    </row>
    <row r="633" spans="2:51" s="13" customFormat="1" ht="12">
      <c r="B633" s="149"/>
      <c r="D633" s="150" t="s">
        <v>154</v>
      </c>
      <c r="E633" s="151" t="s">
        <v>3</v>
      </c>
      <c r="F633" s="152" t="s">
        <v>239</v>
      </c>
      <c r="H633" s="151" t="s">
        <v>3</v>
      </c>
      <c r="I633" s="282"/>
      <c r="L633" s="149"/>
      <c r="M633" s="153"/>
      <c r="N633" s="154"/>
      <c r="O633" s="154"/>
      <c r="P633" s="154"/>
      <c r="Q633" s="154"/>
      <c r="R633" s="154"/>
      <c r="S633" s="154"/>
      <c r="T633" s="155"/>
      <c r="AT633" s="151" t="s">
        <v>154</v>
      </c>
      <c r="AU633" s="151" t="s">
        <v>85</v>
      </c>
      <c r="AV633" s="13" t="s">
        <v>83</v>
      </c>
      <c r="AW633" s="13" t="s">
        <v>37</v>
      </c>
      <c r="AX633" s="13" t="s">
        <v>75</v>
      </c>
      <c r="AY633" s="151" t="s">
        <v>144</v>
      </c>
    </row>
    <row r="634" spans="2:51" s="13" customFormat="1" ht="12">
      <c r="B634" s="149"/>
      <c r="D634" s="150" t="s">
        <v>154</v>
      </c>
      <c r="E634" s="151" t="s">
        <v>3</v>
      </c>
      <c r="F634" s="152" t="s">
        <v>166</v>
      </c>
      <c r="H634" s="151" t="s">
        <v>3</v>
      </c>
      <c r="I634" s="282"/>
      <c r="L634" s="149"/>
      <c r="M634" s="153"/>
      <c r="N634" s="154"/>
      <c r="O634" s="154"/>
      <c r="P634" s="154"/>
      <c r="Q634" s="154"/>
      <c r="R634" s="154"/>
      <c r="S634" s="154"/>
      <c r="T634" s="155"/>
      <c r="AT634" s="151" t="s">
        <v>154</v>
      </c>
      <c r="AU634" s="151" t="s">
        <v>85</v>
      </c>
      <c r="AV634" s="13" t="s">
        <v>83</v>
      </c>
      <c r="AW634" s="13" t="s">
        <v>37</v>
      </c>
      <c r="AX634" s="13" t="s">
        <v>75</v>
      </c>
      <c r="AY634" s="151" t="s">
        <v>144</v>
      </c>
    </row>
    <row r="635" spans="2:51" s="14" customFormat="1" ht="12">
      <c r="B635" s="156"/>
      <c r="D635" s="150" t="s">
        <v>154</v>
      </c>
      <c r="E635" s="157" t="s">
        <v>3</v>
      </c>
      <c r="F635" s="158">
        <v>4</v>
      </c>
      <c r="H635" s="159">
        <v>4</v>
      </c>
      <c r="I635" s="280"/>
      <c r="L635" s="156"/>
      <c r="M635" s="160"/>
      <c r="N635" s="161"/>
      <c r="O635" s="161"/>
      <c r="P635" s="161"/>
      <c r="Q635" s="161"/>
      <c r="R635" s="161"/>
      <c r="S635" s="161"/>
      <c r="T635" s="162"/>
      <c r="AT635" s="157" t="s">
        <v>154</v>
      </c>
      <c r="AU635" s="157" t="s">
        <v>85</v>
      </c>
      <c r="AV635" s="14" t="s">
        <v>85</v>
      </c>
      <c r="AW635" s="14" t="s">
        <v>37</v>
      </c>
      <c r="AX635" s="14" t="s">
        <v>75</v>
      </c>
      <c r="AY635" s="157" t="s">
        <v>144</v>
      </c>
    </row>
    <row r="636" spans="2:51" s="13" customFormat="1" ht="12">
      <c r="B636" s="149"/>
      <c r="D636" s="150" t="s">
        <v>154</v>
      </c>
      <c r="E636" s="151" t="s">
        <v>3</v>
      </c>
      <c r="F636" s="152" t="s">
        <v>167</v>
      </c>
      <c r="H636" s="151" t="s">
        <v>3</v>
      </c>
      <c r="I636" s="282"/>
      <c r="L636" s="149"/>
      <c r="M636" s="153"/>
      <c r="N636" s="154"/>
      <c r="O636" s="154"/>
      <c r="P636" s="154"/>
      <c r="Q636" s="154"/>
      <c r="R636" s="154"/>
      <c r="S636" s="154"/>
      <c r="T636" s="155"/>
      <c r="AT636" s="151" t="s">
        <v>154</v>
      </c>
      <c r="AU636" s="151" t="s">
        <v>85</v>
      </c>
      <c r="AV636" s="13" t="s">
        <v>83</v>
      </c>
      <c r="AW636" s="13" t="s">
        <v>37</v>
      </c>
      <c r="AX636" s="13" t="s">
        <v>75</v>
      </c>
      <c r="AY636" s="151" t="s">
        <v>144</v>
      </c>
    </row>
    <row r="637" spans="2:51" s="14" customFormat="1" ht="12">
      <c r="B637" s="156"/>
      <c r="D637" s="150" t="s">
        <v>154</v>
      </c>
      <c r="E637" s="157" t="s">
        <v>3</v>
      </c>
      <c r="F637" s="158">
        <v>2</v>
      </c>
      <c r="H637" s="159">
        <v>2</v>
      </c>
      <c r="I637" s="280"/>
      <c r="L637" s="156"/>
      <c r="M637" s="160"/>
      <c r="N637" s="161"/>
      <c r="O637" s="161"/>
      <c r="P637" s="161"/>
      <c r="Q637" s="161"/>
      <c r="R637" s="161"/>
      <c r="S637" s="161"/>
      <c r="T637" s="162"/>
      <c r="AT637" s="157" t="s">
        <v>154</v>
      </c>
      <c r="AU637" s="157" t="s">
        <v>85</v>
      </c>
      <c r="AV637" s="14" t="s">
        <v>85</v>
      </c>
      <c r="AW637" s="14" t="s">
        <v>37</v>
      </c>
      <c r="AX637" s="14" t="s">
        <v>75</v>
      </c>
      <c r="AY637" s="157" t="s">
        <v>144</v>
      </c>
    </row>
    <row r="638" spans="2:51" s="15" customFormat="1" ht="12">
      <c r="B638" s="166"/>
      <c r="D638" s="150" t="s">
        <v>154</v>
      </c>
      <c r="E638" s="167" t="s">
        <v>3</v>
      </c>
      <c r="F638" s="168" t="s">
        <v>161</v>
      </c>
      <c r="H638" s="169">
        <f>H635+H637</f>
        <v>6</v>
      </c>
      <c r="I638" s="284"/>
      <c r="L638" s="166"/>
      <c r="M638" s="170"/>
      <c r="N638" s="171"/>
      <c r="O638" s="171"/>
      <c r="P638" s="171"/>
      <c r="Q638" s="171"/>
      <c r="R638" s="171"/>
      <c r="S638" s="171"/>
      <c r="T638" s="172"/>
      <c r="AT638" s="167" t="s">
        <v>154</v>
      </c>
      <c r="AU638" s="167" t="s">
        <v>85</v>
      </c>
      <c r="AV638" s="15" t="s">
        <v>152</v>
      </c>
      <c r="AW638" s="15" t="s">
        <v>37</v>
      </c>
      <c r="AX638" s="15" t="s">
        <v>83</v>
      </c>
      <c r="AY638" s="167" t="s">
        <v>144</v>
      </c>
    </row>
    <row r="639" spans="1:65" s="2" customFormat="1" ht="37.9" customHeight="1">
      <c r="A639" s="31"/>
      <c r="B639" s="136"/>
      <c r="C639" s="137" t="s">
        <v>767</v>
      </c>
      <c r="D639" s="137" t="s">
        <v>147</v>
      </c>
      <c r="E639" s="138" t="s">
        <v>768</v>
      </c>
      <c r="F639" s="139" t="s">
        <v>769</v>
      </c>
      <c r="G639" s="140" t="s">
        <v>387</v>
      </c>
      <c r="H639" s="141">
        <f>SUM(J573:J637)/100</f>
        <v>0</v>
      </c>
      <c r="I639" s="278"/>
      <c r="J639" s="142">
        <f>ROUND(I639*H639,2)</f>
        <v>0</v>
      </c>
      <c r="K639" s="139" t="s">
        <v>157</v>
      </c>
      <c r="L639" s="32"/>
      <c r="M639" s="143" t="s">
        <v>3</v>
      </c>
      <c r="N639" s="144" t="s">
        <v>46</v>
      </c>
      <c r="O639" s="145">
        <v>0</v>
      </c>
      <c r="P639" s="145">
        <f>O639*H639</f>
        <v>0</v>
      </c>
      <c r="Q639" s="145">
        <v>0</v>
      </c>
      <c r="R639" s="145">
        <f>Q639*H639</f>
        <v>0</v>
      </c>
      <c r="S639" s="145">
        <v>0</v>
      </c>
      <c r="T639" s="146">
        <f>S639*H639</f>
        <v>0</v>
      </c>
      <c r="U639" s="31"/>
      <c r="V639" s="31"/>
      <c r="W639" s="31"/>
      <c r="X639" s="31"/>
      <c r="Y639" s="31"/>
      <c r="Z639" s="31"/>
      <c r="AA639" s="31"/>
      <c r="AB639" s="31"/>
      <c r="AC639" s="31"/>
      <c r="AD639" s="31"/>
      <c r="AE639" s="31"/>
      <c r="AR639" s="147" t="s">
        <v>218</v>
      </c>
      <c r="AT639" s="147" t="s">
        <v>147</v>
      </c>
      <c r="AU639" s="147" t="s">
        <v>85</v>
      </c>
      <c r="AY639" s="19" t="s">
        <v>144</v>
      </c>
      <c r="BE639" s="148">
        <f>IF(N639="základní",J639,0)</f>
        <v>0</v>
      </c>
      <c r="BF639" s="148">
        <f>IF(N639="snížená",J639,0)</f>
        <v>0</v>
      </c>
      <c r="BG639" s="148">
        <f>IF(N639="zákl. přenesená",J639,0)</f>
        <v>0</v>
      </c>
      <c r="BH639" s="148">
        <f>IF(N639="sníž. přenesená",J639,0)</f>
        <v>0</v>
      </c>
      <c r="BI639" s="148">
        <f>IF(N639="nulová",J639,0)</f>
        <v>0</v>
      </c>
      <c r="BJ639" s="19" t="s">
        <v>83</v>
      </c>
      <c r="BK639" s="148">
        <f>ROUND(I639*H639,2)</f>
        <v>0</v>
      </c>
      <c r="BL639" s="19" t="s">
        <v>218</v>
      </c>
      <c r="BM639" s="147" t="s">
        <v>770</v>
      </c>
    </row>
    <row r="640" spans="1:47" s="2" customFormat="1" ht="126.75">
      <c r="A640" s="31"/>
      <c r="B640" s="32"/>
      <c r="C640" s="31"/>
      <c r="D640" s="150" t="s">
        <v>158</v>
      </c>
      <c r="E640" s="31"/>
      <c r="F640" s="163" t="s">
        <v>627</v>
      </c>
      <c r="G640" s="31"/>
      <c r="H640" s="31"/>
      <c r="I640" s="279"/>
      <c r="J640" s="31"/>
      <c r="K640" s="31"/>
      <c r="L640" s="32"/>
      <c r="M640" s="164"/>
      <c r="N640" s="165"/>
      <c r="O640" s="52"/>
      <c r="P640" s="52"/>
      <c r="Q640" s="52"/>
      <c r="R640" s="52"/>
      <c r="S640" s="52"/>
      <c r="T640" s="53"/>
      <c r="U640" s="31"/>
      <c r="V640" s="31"/>
      <c r="W640" s="31"/>
      <c r="X640" s="31"/>
      <c r="Y640" s="31"/>
      <c r="Z640" s="31"/>
      <c r="AA640" s="31"/>
      <c r="AB640" s="31"/>
      <c r="AC640" s="31"/>
      <c r="AD640" s="31"/>
      <c r="AE640" s="31"/>
      <c r="AT640" s="19" t="s">
        <v>158</v>
      </c>
      <c r="AU640" s="19" t="s">
        <v>85</v>
      </c>
    </row>
    <row r="641" spans="1:65" s="2" customFormat="1" ht="49.15" customHeight="1">
      <c r="A641" s="31"/>
      <c r="B641" s="136"/>
      <c r="C641" s="137" t="s">
        <v>771</v>
      </c>
      <c r="D641" s="137" t="s">
        <v>147</v>
      </c>
      <c r="E641" s="138" t="s">
        <v>772</v>
      </c>
      <c r="F641" s="139" t="s">
        <v>773</v>
      </c>
      <c r="G641" s="140" t="s">
        <v>387</v>
      </c>
      <c r="H641" s="141">
        <f>H639</f>
        <v>0</v>
      </c>
      <c r="I641" s="278"/>
      <c r="J641" s="142">
        <f>ROUND(I641*H641,2)</f>
        <v>0</v>
      </c>
      <c r="K641" s="139" t="s">
        <v>157</v>
      </c>
      <c r="L641" s="32"/>
      <c r="M641" s="143" t="s">
        <v>3</v>
      </c>
      <c r="N641" s="144" t="s">
        <v>46</v>
      </c>
      <c r="O641" s="145">
        <v>0</v>
      </c>
      <c r="P641" s="145">
        <f>O641*H641</f>
        <v>0</v>
      </c>
      <c r="Q641" s="145">
        <v>0</v>
      </c>
      <c r="R641" s="145">
        <f>Q641*H641</f>
        <v>0</v>
      </c>
      <c r="S641" s="145">
        <v>0</v>
      </c>
      <c r="T641" s="146">
        <f>S641*H641</f>
        <v>0</v>
      </c>
      <c r="U641" s="31"/>
      <c r="V641" s="31"/>
      <c r="W641" s="31"/>
      <c r="X641" s="31"/>
      <c r="Y641" s="31"/>
      <c r="Z641" s="31"/>
      <c r="AA641" s="31"/>
      <c r="AB641" s="31"/>
      <c r="AC641" s="31"/>
      <c r="AD641" s="31"/>
      <c r="AE641" s="31"/>
      <c r="AR641" s="147" t="s">
        <v>218</v>
      </c>
      <c r="AT641" s="147" t="s">
        <v>147</v>
      </c>
      <c r="AU641" s="147" t="s">
        <v>85</v>
      </c>
      <c r="AY641" s="19" t="s">
        <v>144</v>
      </c>
      <c r="BE641" s="148">
        <f>IF(N641="základní",J641,0)</f>
        <v>0</v>
      </c>
      <c r="BF641" s="148">
        <f>IF(N641="snížená",J641,0)</f>
        <v>0</v>
      </c>
      <c r="BG641" s="148">
        <f>IF(N641="zákl. přenesená",J641,0)</f>
        <v>0</v>
      </c>
      <c r="BH641" s="148">
        <f>IF(N641="sníž. přenesená",J641,0)</f>
        <v>0</v>
      </c>
      <c r="BI641" s="148">
        <f>IF(N641="nulová",J641,0)</f>
        <v>0</v>
      </c>
      <c r="BJ641" s="19" t="s">
        <v>83</v>
      </c>
      <c r="BK641" s="148">
        <f>ROUND(I641*H641,2)</f>
        <v>0</v>
      </c>
      <c r="BL641" s="19" t="s">
        <v>218</v>
      </c>
      <c r="BM641" s="147" t="s">
        <v>774</v>
      </c>
    </row>
    <row r="642" spans="1:47" s="2" customFormat="1" ht="126.75">
      <c r="A642" s="31"/>
      <c r="B642" s="32"/>
      <c r="C642" s="31"/>
      <c r="D642" s="150" t="s">
        <v>158</v>
      </c>
      <c r="E642" s="31"/>
      <c r="F642" s="163" t="s">
        <v>627</v>
      </c>
      <c r="G642" s="31"/>
      <c r="H642" s="31"/>
      <c r="I642" s="279"/>
      <c r="J642" s="31"/>
      <c r="K642" s="31"/>
      <c r="L642" s="32"/>
      <c r="M642" s="164"/>
      <c r="N642" s="165"/>
      <c r="O642" s="52"/>
      <c r="P642" s="52"/>
      <c r="Q642" s="52"/>
      <c r="R642" s="52"/>
      <c r="S642" s="52"/>
      <c r="T642" s="53"/>
      <c r="U642" s="31"/>
      <c r="V642" s="31"/>
      <c r="W642" s="31"/>
      <c r="X642" s="31"/>
      <c r="Y642" s="31"/>
      <c r="Z642" s="31"/>
      <c r="AA642" s="31"/>
      <c r="AB642" s="31"/>
      <c r="AC642" s="31"/>
      <c r="AD642" s="31"/>
      <c r="AE642" s="31"/>
      <c r="AT642" s="19" t="s">
        <v>158</v>
      </c>
      <c r="AU642" s="19" t="s">
        <v>85</v>
      </c>
    </row>
    <row r="643" spans="2:63" s="12" customFormat="1" ht="22.9" customHeight="1">
      <c r="B643" s="124"/>
      <c r="D643" s="125" t="s">
        <v>74</v>
      </c>
      <c r="E643" s="134" t="s">
        <v>775</v>
      </c>
      <c r="F643" s="134" t="s">
        <v>776</v>
      </c>
      <c r="I643" s="285"/>
      <c r="J643" s="135">
        <f>BK643</f>
        <v>0</v>
      </c>
      <c r="L643" s="124"/>
      <c r="M643" s="128"/>
      <c r="N643" s="129"/>
      <c r="O643" s="129"/>
      <c r="P643" s="130">
        <f>SUM(P644:P669)</f>
        <v>2.8118784</v>
      </c>
      <c r="Q643" s="129"/>
      <c r="R643" s="130">
        <f>SUM(R644:R669)</f>
        <v>0.0021432</v>
      </c>
      <c r="S643" s="129"/>
      <c r="T643" s="131">
        <f>SUM(T644:T669)</f>
        <v>0</v>
      </c>
      <c r="AR643" s="125" t="s">
        <v>85</v>
      </c>
      <c r="AT643" s="132" t="s">
        <v>74</v>
      </c>
      <c r="AU643" s="132" t="s">
        <v>83</v>
      </c>
      <c r="AY643" s="125" t="s">
        <v>144</v>
      </c>
      <c r="BK643" s="133">
        <f>SUM(BK644:BK669)</f>
        <v>0</v>
      </c>
    </row>
    <row r="644" spans="1:65" s="2" customFormat="1" ht="24.2" customHeight="1">
      <c r="A644" s="31"/>
      <c r="B644" s="136"/>
      <c r="C644" s="137" t="s">
        <v>777</v>
      </c>
      <c r="D644" s="137" t="s">
        <v>147</v>
      </c>
      <c r="E644" s="138" t="s">
        <v>778</v>
      </c>
      <c r="F644" s="139" t="s">
        <v>779</v>
      </c>
      <c r="G644" s="140" t="s">
        <v>183</v>
      </c>
      <c r="H644" s="141">
        <f>H648</f>
        <v>8.572799999999999</v>
      </c>
      <c r="I644" s="278"/>
      <c r="J644" s="142">
        <f>ROUND(I644*H644,2)</f>
        <v>0</v>
      </c>
      <c r="K644" s="139" t="s">
        <v>157</v>
      </c>
      <c r="L644" s="32"/>
      <c r="M644" s="143" t="s">
        <v>3</v>
      </c>
      <c r="N644" s="144" t="s">
        <v>46</v>
      </c>
      <c r="O644" s="145">
        <v>0.011</v>
      </c>
      <c r="P644" s="145">
        <f>O644*H644</f>
        <v>0.09430079999999999</v>
      </c>
      <c r="Q644" s="145">
        <v>0</v>
      </c>
      <c r="R644" s="145">
        <f>Q644*H644</f>
        <v>0</v>
      </c>
      <c r="S644" s="145">
        <v>0</v>
      </c>
      <c r="T644" s="146">
        <f>S644*H644</f>
        <v>0</v>
      </c>
      <c r="U644" s="31"/>
      <c r="V644" s="31"/>
      <c r="W644" s="31"/>
      <c r="X644" s="31"/>
      <c r="Y644" s="31"/>
      <c r="Z644" s="31"/>
      <c r="AA644" s="31"/>
      <c r="AB644" s="31"/>
      <c r="AC644" s="31"/>
      <c r="AD644" s="31"/>
      <c r="AE644" s="31"/>
      <c r="AR644" s="147" t="s">
        <v>218</v>
      </c>
      <c r="AT644" s="147" t="s">
        <v>147</v>
      </c>
      <c r="AU644" s="147" t="s">
        <v>85</v>
      </c>
      <c r="AY644" s="19" t="s">
        <v>144</v>
      </c>
      <c r="BE644" s="148">
        <f>IF(N644="základní",J644,0)</f>
        <v>0</v>
      </c>
      <c r="BF644" s="148">
        <f>IF(N644="snížená",J644,0)</f>
        <v>0</v>
      </c>
      <c r="BG644" s="148">
        <f>IF(N644="zákl. přenesená",J644,0)</f>
        <v>0</v>
      </c>
      <c r="BH644" s="148">
        <f>IF(N644="sníž. přenesená",J644,0)</f>
        <v>0</v>
      </c>
      <c r="BI644" s="148">
        <f>IF(N644="nulová",J644,0)</f>
        <v>0</v>
      </c>
      <c r="BJ644" s="19" t="s">
        <v>83</v>
      </c>
      <c r="BK644" s="148">
        <f>ROUND(I644*H644,2)</f>
        <v>0</v>
      </c>
      <c r="BL644" s="19" t="s">
        <v>218</v>
      </c>
      <c r="BM644" s="147" t="s">
        <v>780</v>
      </c>
    </row>
    <row r="645" spans="2:51" s="13" customFormat="1" ht="12">
      <c r="B645" s="149"/>
      <c r="D645" s="150" t="s">
        <v>154</v>
      </c>
      <c r="E645" s="151" t="s">
        <v>3</v>
      </c>
      <c r="F645" s="152" t="s">
        <v>216</v>
      </c>
      <c r="H645" s="151" t="s">
        <v>3</v>
      </c>
      <c r="I645" s="282"/>
      <c r="L645" s="149"/>
      <c r="M645" s="153"/>
      <c r="N645" s="154"/>
      <c r="O645" s="154"/>
      <c r="P645" s="154"/>
      <c r="Q645" s="154"/>
      <c r="R645" s="154"/>
      <c r="S645" s="154"/>
      <c r="T645" s="155"/>
      <c r="AT645" s="151" t="s">
        <v>154</v>
      </c>
      <c r="AU645" s="151" t="s">
        <v>85</v>
      </c>
      <c r="AV645" s="13" t="s">
        <v>83</v>
      </c>
      <c r="AW645" s="13" t="s">
        <v>37</v>
      </c>
      <c r="AX645" s="13" t="s">
        <v>75</v>
      </c>
      <c r="AY645" s="151" t="s">
        <v>144</v>
      </c>
    </row>
    <row r="646" spans="2:51" s="14" customFormat="1" ht="12">
      <c r="B646" s="156"/>
      <c r="D646" s="150" t="s">
        <v>154</v>
      </c>
      <c r="E646" s="157" t="s">
        <v>3</v>
      </c>
      <c r="F646" s="158" t="s">
        <v>1927</v>
      </c>
      <c r="H646" s="159">
        <f>9*(2*1.2)*0.304</f>
        <v>6.566399999999999</v>
      </c>
      <c r="I646" s="280"/>
      <c r="L646" s="156"/>
      <c r="M646" s="160"/>
      <c r="N646" s="161"/>
      <c r="O646" s="161"/>
      <c r="P646" s="161"/>
      <c r="Q646" s="161"/>
      <c r="R646" s="161"/>
      <c r="S646" s="161"/>
      <c r="T646" s="162"/>
      <c r="AT646" s="157" t="s">
        <v>154</v>
      </c>
      <c r="AU646" s="157" t="s">
        <v>85</v>
      </c>
      <c r="AV646" s="14" t="s">
        <v>85</v>
      </c>
      <c r="AW646" s="14" t="s">
        <v>37</v>
      </c>
      <c r="AX646" s="14" t="s">
        <v>75</v>
      </c>
      <c r="AY646" s="157" t="s">
        <v>144</v>
      </c>
    </row>
    <row r="647" spans="2:51" s="14" customFormat="1" ht="12">
      <c r="B647" s="156"/>
      <c r="D647" s="150" t="s">
        <v>154</v>
      </c>
      <c r="E647" s="157" t="s">
        <v>3</v>
      </c>
      <c r="F647" s="158" t="s">
        <v>1928</v>
      </c>
      <c r="H647" s="159">
        <f>3*(2*1.1)*0.304</f>
        <v>2.0064</v>
      </c>
      <c r="I647" s="280"/>
      <c r="L647" s="156"/>
      <c r="M647" s="160"/>
      <c r="N647" s="161"/>
      <c r="O647" s="161"/>
      <c r="P647" s="161"/>
      <c r="Q647" s="161"/>
      <c r="R647" s="161"/>
      <c r="S647" s="161"/>
      <c r="T647" s="162"/>
      <c r="AT647" s="157" t="s">
        <v>154</v>
      </c>
      <c r="AU647" s="157" t="s">
        <v>85</v>
      </c>
      <c r="AV647" s="14" t="s">
        <v>85</v>
      </c>
      <c r="AW647" s="14" t="s">
        <v>37</v>
      </c>
      <c r="AX647" s="14" t="s">
        <v>75</v>
      </c>
      <c r="AY647" s="157" t="s">
        <v>144</v>
      </c>
    </row>
    <row r="648" spans="2:51" s="15" customFormat="1" ht="12">
      <c r="B648" s="166"/>
      <c r="D648" s="150" t="s">
        <v>154</v>
      </c>
      <c r="E648" s="167" t="s">
        <v>3</v>
      </c>
      <c r="F648" s="168" t="s">
        <v>161</v>
      </c>
      <c r="H648" s="169">
        <f>H646+H647</f>
        <v>8.572799999999999</v>
      </c>
      <c r="I648" s="284"/>
      <c r="L648" s="166"/>
      <c r="M648" s="170"/>
      <c r="N648" s="171"/>
      <c r="O648" s="171"/>
      <c r="P648" s="171"/>
      <c r="Q648" s="171"/>
      <c r="R648" s="171"/>
      <c r="S648" s="171"/>
      <c r="T648" s="172"/>
      <c r="AT648" s="167" t="s">
        <v>154</v>
      </c>
      <c r="AU648" s="167" t="s">
        <v>85</v>
      </c>
      <c r="AV648" s="15" t="s">
        <v>152</v>
      </c>
      <c r="AW648" s="15" t="s">
        <v>37</v>
      </c>
      <c r="AX648" s="15" t="s">
        <v>83</v>
      </c>
      <c r="AY648" s="167" t="s">
        <v>144</v>
      </c>
    </row>
    <row r="649" spans="1:65" s="2" customFormat="1" ht="37.9" customHeight="1">
      <c r="A649" s="31"/>
      <c r="B649" s="136"/>
      <c r="C649" s="137" t="s">
        <v>781</v>
      </c>
      <c r="D649" s="137" t="s">
        <v>147</v>
      </c>
      <c r="E649" s="138" t="s">
        <v>782</v>
      </c>
      <c r="F649" s="139" t="s">
        <v>783</v>
      </c>
      <c r="G649" s="140" t="s">
        <v>183</v>
      </c>
      <c r="H649" s="141">
        <f>H644</f>
        <v>8.572799999999999</v>
      </c>
      <c r="I649" s="278"/>
      <c r="J649" s="142">
        <f>ROUND(I649*H649,2)</f>
        <v>0</v>
      </c>
      <c r="K649" s="139" t="s">
        <v>157</v>
      </c>
      <c r="L649" s="32"/>
      <c r="M649" s="143" t="s">
        <v>3</v>
      </c>
      <c r="N649" s="144" t="s">
        <v>46</v>
      </c>
      <c r="O649" s="145">
        <v>0.133</v>
      </c>
      <c r="P649" s="145">
        <f>O649*H649</f>
        <v>1.1401824</v>
      </c>
      <c r="Q649" s="145">
        <v>8E-05</v>
      </c>
      <c r="R649" s="145">
        <f>Q649*H649</f>
        <v>0.000685824</v>
      </c>
      <c r="S649" s="145">
        <v>0</v>
      </c>
      <c r="T649" s="146">
        <f>S649*H649</f>
        <v>0</v>
      </c>
      <c r="U649" s="31"/>
      <c r="V649" s="31"/>
      <c r="W649" s="31"/>
      <c r="X649" s="31"/>
      <c r="Y649" s="31"/>
      <c r="Z649" s="31"/>
      <c r="AA649" s="31"/>
      <c r="AB649" s="31"/>
      <c r="AC649" s="31"/>
      <c r="AD649" s="31"/>
      <c r="AE649" s="31"/>
      <c r="AR649" s="147" t="s">
        <v>218</v>
      </c>
      <c r="AT649" s="147" t="s">
        <v>147</v>
      </c>
      <c r="AU649" s="147" t="s">
        <v>85</v>
      </c>
      <c r="AY649" s="19" t="s">
        <v>144</v>
      </c>
      <c r="BE649" s="148">
        <f>IF(N649="základní",J649,0)</f>
        <v>0</v>
      </c>
      <c r="BF649" s="148">
        <f>IF(N649="snížená",J649,0)</f>
        <v>0</v>
      </c>
      <c r="BG649" s="148">
        <f>IF(N649="zákl. přenesená",J649,0)</f>
        <v>0</v>
      </c>
      <c r="BH649" s="148">
        <f>IF(N649="sníž. přenesená",J649,0)</f>
        <v>0</v>
      </c>
      <c r="BI649" s="148">
        <f>IF(N649="nulová",J649,0)</f>
        <v>0</v>
      </c>
      <c r="BJ649" s="19" t="s">
        <v>83</v>
      </c>
      <c r="BK649" s="148">
        <f>ROUND(I649*H649,2)</f>
        <v>0</v>
      </c>
      <c r="BL649" s="19" t="s">
        <v>218</v>
      </c>
      <c r="BM649" s="147" t="s">
        <v>784</v>
      </c>
    </row>
    <row r="650" spans="1:65" s="2" customFormat="1" ht="24.2" customHeight="1">
      <c r="A650" s="31"/>
      <c r="B650" s="136"/>
      <c r="C650" s="137" t="s">
        <v>785</v>
      </c>
      <c r="D650" s="137" t="s">
        <v>147</v>
      </c>
      <c r="E650" s="138" t="s">
        <v>786</v>
      </c>
      <c r="F650" s="139" t="s">
        <v>787</v>
      </c>
      <c r="G650" s="140" t="s">
        <v>183</v>
      </c>
      <c r="H650" s="141">
        <f>H644</f>
        <v>8.572799999999999</v>
      </c>
      <c r="I650" s="278"/>
      <c r="J650" s="142">
        <f>ROUND(I650*H650,2)</f>
        <v>0</v>
      </c>
      <c r="K650" s="139" t="s">
        <v>157</v>
      </c>
      <c r="L650" s="32"/>
      <c r="M650" s="143" t="s">
        <v>3</v>
      </c>
      <c r="N650" s="144" t="s">
        <v>46</v>
      </c>
      <c r="O650" s="145">
        <v>0.184</v>
      </c>
      <c r="P650" s="145">
        <f>O650*H650</f>
        <v>1.5773951999999998</v>
      </c>
      <c r="Q650" s="145">
        <v>0.00017</v>
      </c>
      <c r="R650" s="145">
        <f>Q650*H650</f>
        <v>0.001457376</v>
      </c>
      <c r="S650" s="145">
        <v>0</v>
      </c>
      <c r="T650" s="146">
        <f>S650*H650</f>
        <v>0</v>
      </c>
      <c r="U650" s="31"/>
      <c r="V650" s="31"/>
      <c r="W650" s="31"/>
      <c r="X650" s="31"/>
      <c r="Y650" s="31"/>
      <c r="Z650" s="31"/>
      <c r="AA650" s="31"/>
      <c r="AB650" s="31"/>
      <c r="AC650" s="31"/>
      <c r="AD650" s="31"/>
      <c r="AE650" s="31"/>
      <c r="AR650" s="147" t="s">
        <v>218</v>
      </c>
      <c r="AT650" s="147" t="s">
        <v>147</v>
      </c>
      <c r="AU650" s="147" t="s">
        <v>85</v>
      </c>
      <c r="AY650" s="19" t="s">
        <v>144</v>
      </c>
      <c r="BE650" s="148">
        <f>IF(N650="základní",J650,0)</f>
        <v>0</v>
      </c>
      <c r="BF650" s="148">
        <f>IF(N650="snížená",J650,0)</f>
        <v>0</v>
      </c>
      <c r="BG650" s="148">
        <f>IF(N650="zákl. přenesená",J650,0)</f>
        <v>0</v>
      </c>
      <c r="BH650" s="148">
        <f>IF(N650="sníž. přenesená",J650,0)</f>
        <v>0</v>
      </c>
      <c r="BI650" s="148">
        <f>IF(N650="nulová",J650,0)</f>
        <v>0</v>
      </c>
      <c r="BJ650" s="19" t="s">
        <v>83</v>
      </c>
      <c r="BK650" s="148">
        <f>ROUND(I650*H650,2)</f>
        <v>0</v>
      </c>
      <c r="BL650" s="19" t="s">
        <v>218</v>
      </c>
      <c r="BM650" s="147" t="s">
        <v>788</v>
      </c>
    </row>
    <row r="651" spans="1:65" s="2" customFormat="1" ht="14.45" customHeight="1">
      <c r="A651" s="31"/>
      <c r="B651" s="136"/>
      <c r="C651" s="137" t="s">
        <v>789</v>
      </c>
      <c r="D651" s="137" t="s">
        <v>147</v>
      </c>
      <c r="E651" s="138" t="s">
        <v>790</v>
      </c>
      <c r="F651" s="139" t="s">
        <v>791</v>
      </c>
      <c r="G651" s="140" t="s">
        <v>156</v>
      </c>
      <c r="H651" s="141">
        <v>5</v>
      </c>
      <c r="I651" s="278"/>
      <c r="J651" s="142">
        <f>ROUND(I651*H651,2)</f>
        <v>0</v>
      </c>
      <c r="K651" s="139" t="s">
        <v>151</v>
      </c>
      <c r="L651" s="32"/>
      <c r="M651" s="143" t="s">
        <v>3</v>
      </c>
      <c r="N651" s="144" t="s">
        <v>46</v>
      </c>
      <c r="O651" s="145">
        <v>0</v>
      </c>
      <c r="P651" s="145">
        <f>O651*H651</f>
        <v>0</v>
      </c>
      <c r="Q651" s="145">
        <v>0</v>
      </c>
      <c r="R651" s="145">
        <f>Q651*H651</f>
        <v>0</v>
      </c>
      <c r="S651" s="145">
        <v>0</v>
      </c>
      <c r="T651" s="146">
        <f>S651*H651</f>
        <v>0</v>
      </c>
      <c r="U651" s="31"/>
      <c r="V651" s="31"/>
      <c r="W651" s="31"/>
      <c r="X651" s="31"/>
      <c r="Y651" s="31"/>
      <c r="Z651" s="31"/>
      <c r="AA651" s="31"/>
      <c r="AB651" s="31"/>
      <c r="AC651" s="31"/>
      <c r="AD651" s="31"/>
      <c r="AE651" s="31"/>
      <c r="AR651" s="147" t="s">
        <v>218</v>
      </c>
      <c r="AT651" s="147" t="s">
        <v>147</v>
      </c>
      <c r="AU651" s="147" t="s">
        <v>85</v>
      </c>
      <c r="AY651" s="19" t="s">
        <v>144</v>
      </c>
      <c r="BE651" s="148">
        <f>IF(N651="základní",J651,0)</f>
        <v>0</v>
      </c>
      <c r="BF651" s="148">
        <f>IF(N651="snížená",J651,0)</f>
        <v>0</v>
      </c>
      <c r="BG651" s="148">
        <f>IF(N651="zákl. přenesená",J651,0)</f>
        <v>0</v>
      </c>
      <c r="BH651" s="148">
        <f>IF(N651="sníž. přenesená",J651,0)</f>
        <v>0</v>
      </c>
      <c r="BI651" s="148">
        <f>IF(N651="nulová",J651,0)</f>
        <v>0</v>
      </c>
      <c r="BJ651" s="19" t="s">
        <v>83</v>
      </c>
      <c r="BK651" s="148">
        <f>ROUND(I651*H651,2)</f>
        <v>0</v>
      </c>
      <c r="BL651" s="19" t="s">
        <v>218</v>
      </c>
      <c r="BM651" s="147" t="s">
        <v>792</v>
      </c>
    </row>
    <row r="652" spans="2:51" s="13" customFormat="1" ht="12">
      <c r="B652" s="149"/>
      <c r="D652" s="150" t="s">
        <v>154</v>
      </c>
      <c r="E652" s="151" t="s">
        <v>3</v>
      </c>
      <c r="F652" s="152" t="s">
        <v>793</v>
      </c>
      <c r="H652" s="151" t="s">
        <v>3</v>
      </c>
      <c r="I652" s="282"/>
      <c r="L652" s="149"/>
      <c r="M652" s="153"/>
      <c r="N652" s="154"/>
      <c r="O652" s="154"/>
      <c r="P652" s="154"/>
      <c r="Q652" s="154"/>
      <c r="R652" s="154"/>
      <c r="S652" s="154"/>
      <c r="T652" s="155"/>
      <c r="AT652" s="151" t="s">
        <v>154</v>
      </c>
      <c r="AU652" s="151" t="s">
        <v>85</v>
      </c>
      <c r="AV652" s="13" t="s">
        <v>83</v>
      </c>
      <c r="AW652" s="13" t="s">
        <v>37</v>
      </c>
      <c r="AX652" s="13" t="s">
        <v>75</v>
      </c>
      <c r="AY652" s="151" t="s">
        <v>144</v>
      </c>
    </row>
    <row r="653" spans="2:51" s="14" customFormat="1" ht="12">
      <c r="B653" s="156"/>
      <c r="D653" s="150" t="s">
        <v>154</v>
      </c>
      <c r="E653" s="157" t="s">
        <v>3</v>
      </c>
      <c r="F653" s="158">
        <v>5</v>
      </c>
      <c r="H653" s="159">
        <v>5</v>
      </c>
      <c r="I653" s="280"/>
      <c r="L653" s="156"/>
      <c r="M653" s="160"/>
      <c r="N653" s="161"/>
      <c r="O653" s="161"/>
      <c r="P653" s="161"/>
      <c r="Q653" s="161"/>
      <c r="R653" s="161"/>
      <c r="S653" s="161"/>
      <c r="T653" s="162"/>
      <c r="AT653" s="157" t="s">
        <v>154</v>
      </c>
      <c r="AU653" s="157" t="s">
        <v>85</v>
      </c>
      <c r="AV653" s="14" t="s">
        <v>85</v>
      </c>
      <c r="AW653" s="14" t="s">
        <v>37</v>
      </c>
      <c r="AX653" s="14" t="s">
        <v>83</v>
      </c>
      <c r="AY653" s="157" t="s">
        <v>144</v>
      </c>
    </row>
    <row r="654" spans="1:65" s="2" customFormat="1" ht="14.45" customHeight="1">
      <c r="A654" s="31"/>
      <c r="B654" s="136"/>
      <c r="C654" s="137" t="s">
        <v>794</v>
      </c>
      <c r="D654" s="137" t="s">
        <v>147</v>
      </c>
      <c r="E654" s="138" t="s">
        <v>795</v>
      </c>
      <c r="F654" s="139" t="s">
        <v>796</v>
      </c>
      <c r="G654" s="140" t="s">
        <v>156</v>
      </c>
      <c r="H654" s="141">
        <v>3</v>
      </c>
      <c r="I654" s="278"/>
      <c r="J654" s="142">
        <f>ROUND(I654*H654,2)</f>
        <v>0</v>
      </c>
      <c r="K654" s="139" t="s">
        <v>151</v>
      </c>
      <c r="L654" s="32"/>
      <c r="M654" s="143" t="s">
        <v>3</v>
      </c>
      <c r="N654" s="144" t="s">
        <v>46</v>
      </c>
      <c r="O654" s="145">
        <v>0</v>
      </c>
      <c r="P654" s="145">
        <f>O654*H654</f>
        <v>0</v>
      </c>
      <c r="Q654" s="145">
        <v>0</v>
      </c>
      <c r="R654" s="145">
        <f>Q654*H654</f>
        <v>0</v>
      </c>
      <c r="S654" s="145">
        <v>0</v>
      </c>
      <c r="T654" s="146">
        <f>S654*H654</f>
        <v>0</v>
      </c>
      <c r="U654" s="31"/>
      <c r="V654" s="31"/>
      <c r="W654" s="31"/>
      <c r="X654" s="31"/>
      <c r="Y654" s="31"/>
      <c r="Z654" s="31"/>
      <c r="AA654" s="31"/>
      <c r="AB654" s="31"/>
      <c r="AC654" s="31"/>
      <c r="AD654" s="31"/>
      <c r="AE654" s="31"/>
      <c r="AR654" s="147" t="s">
        <v>218</v>
      </c>
      <c r="AT654" s="147" t="s">
        <v>147</v>
      </c>
      <c r="AU654" s="147" t="s">
        <v>85</v>
      </c>
      <c r="AY654" s="19" t="s">
        <v>144</v>
      </c>
      <c r="BE654" s="148">
        <f>IF(N654="základní",J654,0)</f>
        <v>0</v>
      </c>
      <c r="BF654" s="148">
        <f>IF(N654="snížená",J654,0)</f>
        <v>0</v>
      </c>
      <c r="BG654" s="148">
        <f>IF(N654="zákl. přenesená",J654,0)</f>
        <v>0</v>
      </c>
      <c r="BH654" s="148">
        <f>IF(N654="sníž. přenesená",J654,0)</f>
        <v>0</v>
      </c>
      <c r="BI654" s="148">
        <f>IF(N654="nulová",J654,0)</f>
        <v>0</v>
      </c>
      <c r="BJ654" s="19" t="s">
        <v>83</v>
      </c>
      <c r="BK654" s="148">
        <f>ROUND(I654*H654,2)</f>
        <v>0</v>
      </c>
      <c r="BL654" s="19" t="s">
        <v>218</v>
      </c>
      <c r="BM654" s="147" t="s">
        <v>797</v>
      </c>
    </row>
    <row r="655" spans="2:51" s="13" customFormat="1" ht="12">
      <c r="B655" s="149"/>
      <c r="D655" s="150" t="s">
        <v>154</v>
      </c>
      <c r="E655" s="151" t="s">
        <v>3</v>
      </c>
      <c r="F655" s="152" t="s">
        <v>793</v>
      </c>
      <c r="H655" s="151" t="s">
        <v>3</v>
      </c>
      <c r="I655" s="282"/>
      <c r="L655" s="149"/>
      <c r="M655" s="153"/>
      <c r="N655" s="154"/>
      <c r="O655" s="154"/>
      <c r="P655" s="154"/>
      <c r="Q655" s="154"/>
      <c r="R655" s="154"/>
      <c r="S655" s="154"/>
      <c r="T655" s="155"/>
      <c r="AT655" s="151" t="s">
        <v>154</v>
      </c>
      <c r="AU655" s="151" t="s">
        <v>85</v>
      </c>
      <c r="AV655" s="13" t="s">
        <v>83</v>
      </c>
      <c r="AW655" s="13" t="s">
        <v>37</v>
      </c>
      <c r="AX655" s="13" t="s">
        <v>75</v>
      </c>
      <c r="AY655" s="151" t="s">
        <v>144</v>
      </c>
    </row>
    <row r="656" spans="2:51" s="14" customFormat="1" ht="12">
      <c r="B656" s="156"/>
      <c r="D656" s="150" t="s">
        <v>154</v>
      </c>
      <c r="E656" s="157" t="s">
        <v>3</v>
      </c>
      <c r="F656" s="158">
        <v>3</v>
      </c>
      <c r="H656" s="159">
        <v>3</v>
      </c>
      <c r="I656" s="280"/>
      <c r="L656" s="156"/>
      <c r="M656" s="160"/>
      <c r="N656" s="161"/>
      <c r="O656" s="161"/>
      <c r="P656" s="161"/>
      <c r="Q656" s="161"/>
      <c r="R656" s="161"/>
      <c r="S656" s="161"/>
      <c r="T656" s="162"/>
      <c r="AT656" s="157" t="s">
        <v>154</v>
      </c>
      <c r="AU656" s="157" t="s">
        <v>85</v>
      </c>
      <c r="AV656" s="14" t="s">
        <v>85</v>
      </c>
      <c r="AW656" s="14" t="s">
        <v>37</v>
      </c>
      <c r="AX656" s="14" t="s">
        <v>83</v>
      </c>
      <c r="AY656" s="157" t="s">
        <v>144</v>
      </c>
    </row>
    <row r="657" spans="1:65" s="2" customFormat="1" ht="14.45" customHeight="1">
      <c r="A657" s="31"/>
      <c r="B657" s="136"/>
      <c r="C657" s="137" t="s">
        <v>798</v>
      </c>
      <c r="D657" s="137" t="s">
        <v>147</v>
      </c>
      <c r="E657" s="138" t="s">
        <v>799</v>
      </c>
      <c r="F657" s="139" t="s">
        <v>800</v>
      </c>
      <c r="G657" s="140" t="s">
        <v>156</v>
      </c>
      <c r="H657" s="141">
        <v>17</v>
      </c>
      <c r="I657" s="278"/>
      <c r="J657" s="142">
        <f>ROUND(I657*H657,2)</f>
        <v>0</v>
      </c>
      <c r="K657" s="139" t="s">
        <v>151</v>
      </c>
      <c r="L657" s="32"/>
      <c r="M657" s="143" t="s">
        <v>3</v>
      </c>
      <c r="N657" s="144" t="s">
        <v>46</v>
      </c>
      <c r="O657" s="145">
        <v>0</v>
      </c>
      <c r="P657" s="145">
        <f>O657*H657</f>
        <v>0</v>
      </c>
      <c r="Q657" s="145">
        <v>0</v>
      </c>
      <c r="R657" s="145">
        <f>Q657*H657</f>
        <v>0</v>
      </c>
      <c r="S657" s="145">
        <v>0</v>
      </c>
      <c r="T657" s="146">
        <f>S657*H657</f>
        <v>0</v>
      </c>
      <c r="U657" s="31"/>
      <c r="V657" s="31"/>
      <c r="W657" s="31"/>
      <c r="X657" s="31"/>
      <c r="Y657" s="31"/>
      <c r="Z657" s="31"/>
      <c r="AA657" s="31"/>
      <c r="AB657" s="31"/>
      <c r="AC657" s="31"/>
      <c r="AD657" s="31"/>
      <c r="AE657" s="31"/>
      <c r="AR657" s="147" t="s">
        <v>218</v>
      </c>
      <c r="AT657" s="147" t="s">
        <v>147</v>
      </c>
      <c r="AU657" s="147" t="s">
        <v>85</v>
      </c>
      <c r="AY657" s="19" t="s">
        <v>144</v>
      </c>
      <c r="BE657" s="148">
        <f>IF(N657="základní",J657,0)</f>
        <v>0</v>
      </c>
      <c r="BF657" s="148">
        <f>IF(N657="snížená",J657,0)</f>
        <v>0</v>
      </c>
      <c r="BG657" s="148">
        <f>IF(N657="zákl. přenesená",J657,0)</f>
        <v>0</v>
      </c>
      <c r="BH657" s="148">
        <f>IF(N657="sníž. přenesená",J657,0)</f>
        <v>0</v>
      </c>
      <c r="BI657" s="148">
        <f>IF(N657="nulová",J657,0)</f>
        <v>0</v>
      </c>
      <c r="BJ657" s="19" t="s">
        <v>83</v>
      </c>
      <c r="BK657" s="148">
        <f>ROUND(I657*H657,2)</f>
        <v>0</v>
      </c>
      <c r="BL657" s="19" t="s">
        <v>218</v>
      </c>
      <c r="BM657" s="147" t="s">
        <v>801</v>
      </c>
    </row>
    <row r="658" spans="2:51" s="13" customFormat="1" ht="12">
      <c r="B658" s="149"/>
      <c r="D658" s="150" t="s">
        <v>154</v>
      </c>
      <c r="E658" s="151" t="s">
        <v>3</v>
      </c>
      <c r="F658" s="152" t="s">
        <v>793</v>
      </c>
      <c r="H658" s="151" t="s">
        <v>3</v>
      </c>
      <c r="I658" s="282"/>
      <c r="L658" s="149"/>
      <c r="M658" s="153"/>
      <c r="N658" s="154"/>
      <c r="O658" s="154"/>
      <c r="P658" s="154"/>
      <c r="Q658" s="154"/>
      <c r="R658" s="154"/>
      <c r="S658" s="154"/>
      <c r="T658" s="155"/>
      <c r="AT658" s="151" t="s">
        <v>154</v>
      </c>
      <c r="AU658" s="151" t="s">
        <v>85</v>
      </c>
      <c r="AV658" s="13" t="s">
        <v>83</v>
      </c>
      <c r="AW658" s="13" t="s">
        <v>37</v>
      </c>
      <c r="AX658" s="13" t="s">
        <v>75</v>
      </c>
      <c r="AY658" s="151" t="s">
        <v>144</v>
      </c>
    </row>
    <row r="659" spans="2:51" s="14" customFormat="1" ht="12">
      <c r="B659" s="156"/>
      <c r="D659" s="150" t="s">
        <v>154</v>
      </c>
      <c r="E659" s="157" t="s">
        <v>3</v>
      </c>
      <c r="F659" s="158">
        <v>17</v>
      </c>
      <c r="H659" s="159">
        <v>17</v>
      </c>
      <c r="I659" s="280"/>
      <c r="L659" s="156"/>
      <c r="M659" s="160"/>
      <c r="N659" s="161"/>
      <c r="O659" s="161"/>
      <c r="P659" s="161"/>
      <c r="Q659" s="161"/>
      <c r="R659" s="161"/>
      <c r="S659" s="161"/>
      <c r="T659" s="162"/>
      <c r="AT659" s="157" t="s">
        <v>154</v>
      </c>
      <c r="AU659" s="157" t="s">
        <v>85</v>
      </c>
      <c r="AV659" s="14" t="s">
        <v>85</v>
      </c>
      <c r="AW659" s="14" t="s">
        <v>37</v>
      </c>
      <c r="AX659" s="14" t="s">
        <v>83</v>
      </c>
      <c r="AY659" s="157" t="s">
        <v>144</v>
      </c>
    </row>
    <row r="660" spans="1:65" s="2" customFormat="1" ht="14.45" customHeight="1">
      <c r="A660" s="31"/>
      <c r="B660" s="136"/>
      <c r="C660" s="137" t="s">
        <v>802</v>
      </c>
      <c r="D660" s="137" t="s">
        <v>147</v>
      </c>
      <c r="E660" s="138" t="s">
        <v>803</v>
      </c>
      <c r="F660" s="139" t="s">
        <v>804</v>
      </c>
      <c r="G660" s="140" t="s">
        <v>156</v>
      </c>
      <c r="H660" s="141">
        <v>1</v>
      </c>
      <c r="I660" s="278"/>
      <c r="J660" s="142">
        <f>ROUND(I660*H660,2)</f>
        <v>0</v>
      </c>
      <c r="K660" s="139" t="s">
        <v>151</v>
      </c>
      <c r="L660" s="32"/>
      <c r="M660" s="143" t="s">
        <v>3</v>
      </c>
      <c r="N660" s="144" t="s">
        <v>46</v>
      </c>
      <c r="O660" s="145">
        <v>0</v>
      </c>
      <c r="P660" s="145">
        <f>O660*H660</f>
        <v>0</v>
      </c>
      <c r="Q660" s="145">
        <v>0</v>
      </c>
      <c r="R660" s="145">
        <f>Q660*H660</f>
        <v>0</v>
      </c>
      <c r="S660" s="145">
        <v>0</v>
      </c>
      <c r="T660" s="146">
        <f>S660*H660</f>
        <v>0</v>
      </c>
      <c r="U660" s="31"/>
      <c r="V660" s="31"/>
      <c r="W660" s="31"/>
      <c r="X660" s="31"/>
      <c r="Y660" s="31"/>
      <c r="Z660" s="31"/>
      <c r="AA660" s="31"/>
      <c r="AB660" s="31"/>
      <c r="AC660" s="31"/>
      <c r="AD660" s="31"/>
      <c r="AE660" s="31"/>
      <c r="AR660" s="147" t="s">
        <v>218</v>
      </c>
      <c r="AT660" s="147" t="s">
        <v>147</v>
      </c>
      <c r="AU660" s="147" t="s">
        <v>85</v>
      </c>
      <c r="AY660" s="19" t="s">
        <v>144</v>
      </c>
      <c r="BE660" s="148">
        <f>IF(N660="základní",J660,0)</f>
        <v>0</v>
      </c>
      <c r="BF660" s="148">
        <f>IF(N660="snížená",J660,0)</f>
        <v>0</v>
      </c>
      <c r="BG660" s="148">
        <f>IF(N660="zákl. přenesená",J660,0)</f>
        <v>0</v>
      </c>
      <c r="BH660" s="148">
        <f>IF(N660="sníž. přenesená",J660,0)</f>
        <v>0</v>
      </c>
      <c r="BI660" s="148">
        <f>IF(N660="nulová",J660,0)</f>
        <v>0</v>
      </c>
      <c r="BJ660" s="19" t="s">
        <v>83</v>
      </c>
      <c r="BK660" s="148">
        <f>ROUND(I660*H660,2)</f>
        <v>0</v>
      </c>
      <c r="BL660" s="19" t="s">
        <v>218</v>
      </c>
      <c r="BM660" s="147" t="s">
        <v>805</v>
      </c>
    </row>
    <row r="661" spans="2:51" s="13" customFormat="1" ht="12">
      <c r="B661" s="149"/>
      <c r="D661" s="150" t="s">
        <v>154</v>
      </c>
      <c r="E661" s="151" t="s">
        <v>3</v>
      </c>
      <c r="F661" s="152" t="s">
        <v>793</v>
      </c>
      <c r="H661" s="151" t="s">
        <v>3</v>
      </c>
      <c r="I661" s="282"/>
      <c r="L661" s="149"/>
      <c r="M661" s="153"/>
      <c r="N661" s="154"/>
      <c r="O661" s="154"/>
      <c r="P661" s="154"/>
      <c r="Q661" s="154"/>
      <c r="R661" s="154"/>
      <c r="S661" s="154"/>
      <c r="T661" s="155"/>
      <c r="AT661" s="151" t="s">
        <v>154</v>
      </c>
      <c r="AU661" s="151" t="s">
        <v>85</v>
      </c>
      <c r="AV661" s="13" t="s">
        <v>83</v>
      </c>
      <c r="AW661" s="13" t="s">
        <v>37</v>
      </c>
      <c r="AX661" s="13" t="s">
        <v>75</v>
      </c>
      <c r="AY661" s="151" t="s">
        <v>144</v>
      </c>
    </row>
    <row r="662" spans="2:51" s="14" customFormat="1" ht="12">
      <c r="B662" s="156"/>
      <c r="D662" s="150" t="s">
        <v>154</v>
      </c>
      <c r="E662" s="157" t="s">
        <v>3</v>
      </c>
      <c r="F662" s="158">
        <v>1</v>
      </c>
      <c r="H662" s="159">
        <v>1</v>
      </c>
      <c r="I662" s="280"/>
      <c r="L662" s="156"/>
      <c r="M662" s="160"/>
      <c r="N662" s="161"/>
      <c r="O662" s="161"/>
      <c r="P662" s="161"/>
      <c r="Q662" s="161"/>
      <c r="R662" s="161"/>
      <c r="S662" s="161"/>
      <c r="T662" s="162"/>
      <c r="AT662" s="157" t="s">
        <v>154</v>
      </c>
      <c r="AU662" s="157" t="s">
        <v>85</v>
      </c>
      <c r="AV662" s="14" t="s">
        <v>85</v>
      </c>
      <c r="AW662" s="14" t="s">
        <v>37</v>
      </c>
      <c r="AX662" s="14" t="s">
        <v>83</v>
      </c>
      <c r="AY662" s="157" t="s">
        <v>144</v>
      </c>
    </row>
    <row r="663" spans="1:65" s="2" customFormat="1" ht="14.45" customHeight="1">
      <c r="A663" s="31"/>
      <c r="B663" s="136"/>
      <c r="C663" s="137" t="s">
        <v>806</v>
      </c>
      <c r="D663" s="137" t="s">
        <v>147</v>
      </c>
      <c r="E663" s="138" t="s">
        <v>803</v>
      </c>
      <c r="F663" s="139" t="s">
        <v>1929</v>
      </c>
      <c r="G663" s="140" t="s">
        <v>156</v>
      </c>
      <c r="H663" s="141">
        <v>1</v>
      </c>
      <c r="I663" s="278"/>
      <c r="J663" s="142">
        <f>ROUND(I663*H663,2)</f>
        <v>0</v>
      </c>
      <c r="K663" s="139" t="s">
        <v>151</v>
      </c>
      <c r="L663" s="32"/>
      <c r="M663" s="143" t="s">
        <v>3</v>
      </c>
      <c r="N663" s="144" t="s">
        <v>46</v>
      </c>
      <c r="O663" s="145">
        <v>0</v>
      </c>
      <c r="P663" s="145">
        <f>O663*H663</f>
        <v>0</v>
      </c>
      <c r="Q663" s="145">
        <v>0</v>
      </c>
      <c r="R663" s="145">
        <f>Q663*H663</f>
        <v>0</v>
      </c>
      <c r="S663" s="145">
        <v>0</v>
      </c>
      <c r="T663" s="146">
        <f>S663*H663</f>
        <v>0</v>
      </c>
      <c r="U663" s="31"/>
      <c r="V663" s="31"/>
      <c r="W663" s="31"/>
      <c r="X663" s="31"/>
      <c r="Y663" s="31"/>
      <c r="Z663" s="31"/>
      <c r="AA663" s="31"/>
      <c r="AB663" s="31"/>
      <c r="AC663" s="31"/>
      <c r="AD663" s="31"/>
      <c r="AE663" s="31"/>
      <c r="AR663" s="147" t="s">
        <v>218</v>
      </c>
      <c r="AT663" s="147" t="s">
        <v>147</v>
      </c>
      <c r="AU663" s="147" t="s">
        <v>85</v>
      </c>
      <c r="AY663" s="19" t="s">
        <v>144</v>
      </c>
      <c r="BE663" s="148">
        <f>IF(N663="základní",J663,0)</f>
        <v>0</v>
      </c>
      <c r="BF663" s="148">
        <f>IF(N663="snížená",J663,0)</f>
        <v>0</v>
      </c>
      <c r="BG663" s="148">
        <f>IF(N663="zákl. přenesená",J663,0)</f>
        <v>0</v>
      </c>
      <c r="BH663" s="148">
        <f>IF(N663="sníž. přenesená",J663,0)</f>
        <v>0</v>
      </c>
      <c r="BI663" s="148">
        <f>IF(N663="nulová",J663,0)</f>
        <v>0</v>
      </c>
      <c r="BJ663" s="19" t="s">
        <v>83</v>
      </c>
      <c r="BK663" s="148">
        <f>ROUND(I663*H663,2)</f>
        <v>0</v>
      </c>
      <c r="BL663" s="19" t="s">
        <v>218</v>
      </c>
      <c r="BM663" s="147" t="s">
        <v>807</v>
      </c>
    </row>
    <row r="664" spans="2:51" s="13" customFormat="1" ht="12">
      <c r="B664" s="149"/>
      <c r="D664" s="150" t="s">
        <v>154</v>
      </c>
      <c r="E664" s="151" t="s">
        <v>3</v>
      </c>
      <c r="F664" s="152" t="s">
        <v>793</v>
      </c>
      <c r="H664" s="151" t="s">
        <v>3</v>
      </c>
      <c r="I664" s="282"/>
      <c r="L664" s="149"/>
      <c r="M664" s="153"/>
      <c r="N664" s="154"/>
      <c r="O664" s="154"/>
      <c r="P664" s="154"/>
      <c r="Q664" s="154"/>
      <c r="R664" s="154"/>
      <c r="S664" s="154"/>
      <c r="T664" s="155"/>
      <c r="AT664" s="151" t="s">
        <v>154</v>
      </c>
      <c r="AU664" s="151" t="s">
        <v>85</v>
      </c>
      <c r="AV664" s="13" t="s">
        <v>83</v>
      </c>
      <c r="AW664" s="13" t="s">
        <v>37</v>
      </c>
      <c r="AX664" s="13" t="s">
        <v>75</v>
      </c>
      <c r="AY664" s="151" t="s">
        <v>144</v>
      </c>
    </row>
    <row r="665" spans="2:51" s="14" customFormat="1" ht="12">
      <c r="B665" s="156"/>
      <c r="D665" s="150" t="s">
        <v>154</v>
      </c>
      <c r="E665" s="157" t="s">
        <v>3</v>
      </c>
      <c r="F665" s="158">
        <v>1</v>
      </c>
      <c r="H665" s="159">
        <v>1</v>
      </c>
      <c r="I665" s="280"/>
      <c r="L665" s="156"/>
      <c r="M665" s="160"/>
      <c r="N665" s="161"/>
      <c r="O665" s="161"/>
      <c r="P665" s="161"/>
      <c r="Q665" s="161"/>
      <c r="R665" s="161"/>
      <c r="S665" s="161"/>
      <c r="T665" s="162"/>
      <c r="AT665" s="157" t="s">
        <v>154</v>
      </c>
      <c r="AU665" s="157" t="s">
        <v>85</v>
      </c>
      <c r="AV665" s="14" t="s">
        <v>85</v>
      </c>
      <c r="AW665" s="14" t="s">
        <v>37</v>
      </c>
      <c r="AX665" s="14" t="s">
        <v>83</v>
      </c>
      <c r="AY665" s="157" t="s">
        <v>144</v>
      </c>
    </row>
    <row r="666" spans="1:65" s="2" customFormat="1" ht="49.15" customHeight="1">
      <c r="A666" s="31"/>
      <c r="B666" s="136"/>
      <c r="C666" s="137" t="s">
        <v>808</v>
      </c>
      <c r="D666" s="137" t="s">
        <v>147</v>
      </c>
      <c r="E666" s="138" t="s">
        <v>809</v>
      </c>
      <c r="F666" s="139" t="s">
        <v>810</v>
      </c>
      <c r="G666" s="140" t="s">
        <v>156</v>
      </c>
      <c r="H666" s="141">
        <v>1</v>
      </c>
      <c r="I666" s="278"/>
      <c r="J666" s="142">
        <f>ROUND(I666*H666,2)</f>
        <v>0</v>
      </c>
      <c r="K666" s="139" t="s">
        <v>151</v>
      </c>
      <c r="L666" s="32"/>
      <c r="M666" s="143" t="s">
        <v>3</v>
      </c>
      <c r="N666" s="144" t="s">
        <v>46</v>
      </c>
      <c r="O666" s="145">
        <v>0</v>
      </c>
      <c r="P666" s="145">
        <f>O666*H666</f>
        <v>0</v>
      </c>
      <c r="Q666" s="145">
        <v>0</v>
      </c>
      <c r="R666" s="145">
        <f>Q666*H666</f>
        <v>0</v>
      </c>
      <c r="S666" s="145">
        <v>0</v>
      </c>
      <c r="T666" s="146">
        <f>S666*H666</f>
        <v>0</v>
      </c>
      <c r="U666" s="31"/>
      <c r="V666" s="31"/>
      <c r="W666" s="31"/>
      <c r="X666" s="31"/>
      <c r="Y666" s="31"/>
      <c r="Z666" s="31"/>
      <c r="AA666" s="31"/>
      <c r="AB666" s="31"/>
      <c r="AC666" s="31"/>
      <c r="AD666" s="31"/>
      <c r="AE666" s="31"/>
      <c r="AR666" s="147" t="s">
        <v>218</v>
      </c>
      <c r="AT666" s="147" t="s">
        <v>147</v>
      </c>
      <c r="AU666" s="147" t="s">
        <v>85</v>
      </c>
      <c r="AY666" s="19" t="s">
        <v>144</v>
      </c>
      <c r="BE666" s="148">
        <f>IF(N666="základní",J666,0)</f>
        <v>0</v>
      </c>
      <c r="BF666" s="148">
        <f>IF(N666="snížená",J666,0)</f>
        <v>0</v>
      </c>
      <c r="BG666" s="148">
        <f>IF(N666="zákl. přenesená",J666,0)</f>
        <v>0</v>
      </c>
      <c r="BH666" s="148">
        <f>IF(N666="sníž. přenesená",J666,0)</f>
        <v>0</v>
      </c>
      <c r="BI666" s="148">
        <f>IF(N666="nulová",J666,0)</f>
        <v>0</v>
      </c>
      <c r="BJ666" s="19" t="s">
        <v>83</v>
      </c>
      <c r="BK666" s="148">
        <f>ROUND(I666*H666,2)</f>
        <v>0</v>
      </c>
      <c r="BL666" s="19" t="s">
        <v>218</v>
      </c>
      <c r="BM666" s="147" t="s">
        <v>811</v>
      </c>
    </row>
    <row r="667" spans="1:47" s="2" customFormat="1" ht="29.25">
      <c r="A667" s="31"/>
      <c r="B667" s="32"/>
      <c r="C667" s="31"/>
      <c r="D667" s="150" t="s">
        <v>270</v>
      </c>
      <c r="E667" s="31"/>
      <c r="F667" s="163" t="s">
        <v>812</v>
      </c>
      <c r="G667" s="31"/>
      <c r="H667" s="31"/>
      <c r="I667" s="279"/>
      <c r="J667" s="31"/>
      <c r="K667" s="31"/>
      <c r="L667" s="32"/>
      <c r="M667" s="164"/>
      <c r="N667" s="165"/>
      <c r="O667" s="52"/>
      <c r="P667" s="52"/>
      <c r="Q667" s="52"/>
      <c r="R667" s="52"/>
      <c r="S667" s="52"/>
      <c r="T667" s="53"/>
      <c r="U667" s="31"/>
      <c r="V667" s="31"/>
      <c r="W667" s="31"/>
      <c r="X667" s="31"/>
      <c r="Y667" s="31"/>
      <c r="Z667" s="31"/>
      <c r="AA667" s="31"/>
      <c r="AB667" s="31"/>
      <c r="AC667" s="31"/>
      <c r="AD667" s="31"/>
      <c r="AE667" s="31"/>
      <c r="AT667" s="19" t="s">
        <v>270</v>
      </c>
      <c r="AU667" s="19" t="s">
        <v>85</v>
      </c>
    </row>
    <row r="668" spans="2:51" s="13" customFormat="1" ht="12">
      <c r="B668" s="149"/>
      <c r="D668" s="150" t="s">
        <v>154</v>
      </c>
      <c r="E668" s="151" t="s">
        <v>3</v>
      </c>
      <c r="F668" s="152" t="s">
        <v>793</v>
      </c>
      <c r="H668" s="151" t="s">
        <v>3</v>
      </c>
      <c r="I668" s="282"/>
      <c r="L668" s="149"/>
      <c r="M668" s="153"/>
      <c r="N668" s="154"/>
      <c r="O668" s="154"/>
      <c r="P668" s="154"/>
      <c r="Q668" s="154"/>
      <c r="R668" s="154"/>
      <c r="S668" s="154"/>
      <c r="T668" s="155"/>
      <c r="AT668" s="151" t="s">
        <v>154</v>
      </c>
      <c r="AU668" s="151" t="s">
        <v>85</v>
      </c>
      <c r="AV668" s="13" t="s">
        <v>83</v>
      </c>
      <c r="AW668" s="13" t="s">
        <v>37</v>
      </c>
      <c r="AX668" s="13" t="s">
        <v>75</v>
      </c>
      <c r="AY668" s="151" t="s">
        <v>144</v>
      </c>
    </row>
    <row r="669" spans="2:51" s="14" customFormat="1" ht="12">
      <c r="B669" s="156"/>
      <c r="D669" s="150" t="s">
        <v>154</v>
      </c>
      <c r="E669" s="157" t="s">
        <v>3</v>
      </c>
      <c r="F669" s="158" t="s">
        <v>83</v>
      </c>
      <c r="H669" s="159">
        <v>1</v>
      </c>
      <c r="I669" s="280"/>
      <c r="L669" s="156"/>
      <c r="M669" s="160"/>
      <c r="N669" s="161"/>
      <c r="O669" s="161"/>
      <c r="P669" s="161"/>
      <c r="Q669" s="161"/>
      <c r="R669" s="161"/>
      <c r="S669" s="161"/>
      <c r="T669" s="162"/>
      <c r="AT669" s="157" t="s">
        <v>154</v>
      </c>
      <c r="AU669" s="157" t="s">
        <v>85</v>
      </c>
      <c r="AV669" s="14" t="s">
        <v>85</v>
      </c>
      <c r="AW669" s="14" t="s">
        <v>37</v>
      </c>
      <c r="AX669" s="14" t="s">
        <v>83</v>
      </c>
      <c r="AY669" s="157" t="s">
        <v>144</v>
      </c>
    </row>
    <row r="670" spans="2:63" s="12" customFormat="1" ht="22.9" customHeight="1">
      <c r="B670" s="124"/>
      <c r="D670" s="125" t="s">
        <v>74</v>
      </c>
      <c r="E670" s="134" t="s">
        <v>813</v>
      </c>
      <c r="F670" s="134" t="s">
        <v>814</v>
      </c>
      <c r="I670" s="285"/>
      <c r="J670" s="135">
        <f>BK670</f>
        <v>0</v>
      </c>
      <c r="L670" s="124"/>
      <c r="M670" s="128"/>
      <c r="N670" s="129"/>
      <c r="O670" s="129"/>
      <c r="P670" s="130">
        <f>SUM(P671:P699)</f>
        <v>226.90273</v>
      </c>
      <c r="Q670" s="129"/>
      <c r="R670" s="130">
        <f>SUM(R671:R699)</f>
        <v>0.6774379699999998</v>
      </c>
      <c r="S670" s="129"/>
      <c r="T670" s="131">
        <f>SUM(T671:T699)</f>
        <v>0</v>
      </c>
      <c r="AR670" s="125" t="s">
        <v>85</v>
      </c>
      <c r="AT670" s="132" t="s">
        <v>74</v>
      </c>
      <c r="AU670" s="132" t="s">
        <v>83</v>
      </c>
      <c r="AY670" s="125" t="s">
        <v>144</v>
      </c>
      <c r="BK670" s="133">
        <f>SUM(BK671:BK699)</f>
        <v>0</v>
      </c>
    </row>
    <row r="671" spans="1:65" s="2" customFormat="1" ht="24.2" customHeight="1">
      <c r="A671" s="31"/>
      <c r="B671" s="136"/>
      <c r="C671" s="137" t="s">
        <v>815</v>
      </c>
      <c r="D671" s="137" t="s">
        <v>147</v>
      </c>
      <c r="E671" s="138" t="s">
        <v>816</v>
      </c>
      <c r="F671" s="139" t="s">
        <v>817</v>
      </c>
      <c r="G671" s="140" t="s">
        <v>183</v>
      </c>
      <c r="H671" s="141">
        <f>H674</f>
        <v>355.7</v>
      </c>
      <c r="I671" s="278"/>
      <c r="J671" s="142">
        <f>ROUND(I671*H671,2)</f>
        <v>0</v>
      </c>
      <c r="K671" s="139" t="s">
        <v>157</v>
      </c>
      <c r="L671" s="32"/>
      <c r="M671" s="143" t="s">
        <v>3</v>
      </c>
      <c r="N671" s="144" t="s">
        <v>46</v>
      </c>
      <c r="O671" s="145">
        <v>0.012</v>
      </c>
      <c r="P671" s="145">
        <f>O671*H671</f>
        <v>4.2684</v>
      </c>
      <c r="Q671" s="145">
        <v>0</v>
      </c>
      <c r="R671" s="145">
        <f>Q671*H671</f>
        <v>0</v>
      </c>
      <c r="S671" s="145">
        <v>0</v>
      </c>
      <c r="T671" s="146">
        <f>S671*H671</f>
        <v>0</v>
      </c>
      <c r="U671" s="31"/>
      <c r="V671" s="31"/>
      <c r="W671" s="31"/>
      <c r="X671" s="31"/>
      <c r="Y671" s="31"/>
      <c r="Z671" s="31"/>
      <c r="AA671" s="31"/>
      <c r="AB671" s="31"/>
      <c r="AC671" s="31"/>
      <c r="AD671" s="31"/>
      <c r="AE671" s="31"/>
      <c r="AR671" s="147" t="s">
        <v>218</v>
      </c>
      <c r="AT671" s="147" t="s">
        <v>147</v>
      </c>
      <c r="AU671" s="147" t="s">
        <v>85</v>
      </c>
      <c r="AY671" s="19" t="s">
        <v>144</v>
      </c>
      <c r="BE671" s="148">
        <f>IF(N671="základní",J671,0)</f>
        <v>0</v>
      </c>
      <c r="BF671" s="148">
        <f>IF(N671="snížená",J671,0)</f>
        <v>0</v>
      </c>
      <c r="BG671" s="148">
        <f>IF(N671="zákl. přenesená",J671,0)</f>
        <v>0</v>
      </c>
      <c r="BH671" s="148">
        <f>IF(N671="sníž. přenesená",J671,0)</f>
        <v>0</v>
      </c>
      <c r="BI671" s="148">
        <f>IF(N671="nulová",J671,0)</f>
        <v>0</v>
      </c>
      <c r="BJ671" s="19" t="s">
        <v>83</v>
      </c>
      <c r="BK671" s="148">
        <f>ROUND(I671*H671,2)</f>
        <v>0</v>
      </c>
      <c r="BL671" s="19" t="s">
        <v>218</v>
      </c>
      <c r="BM671" s="147" t="s">
        <v>818</v>
      </c>
    </row>
    <row r="672" spans="1:47" s="2" customFormat="1" ht="39">
      <c r="A672" s="31"/>
      <c r="B672" s="32"/>
      <c r="C672" s="31"/>
      <c r="D672" s="150" t="s">
        <v>158</v>
      </c>
      <c r="E672" s="31"/>
      <c r="F672" s="163" t="s">
        <v>819</v>
      </c>
      <c r="G672" s="31"/>
      <c r="H672" s="31"/>
      <c r="I672" s="279"/>
      <c r="J672" s="31"/>
      <c r="K672" s="31"/>
      <c r="L672" s="32"/>
      <c r="M672" s="164"/>
      <c r="N672" s="165"/>
      <c r="O672" s="52"/>
      <c r="P672" s="52"/>
      <c r="Q672" s="52"/>
      <c r="R672" s="52"/>
      <c r="S672" s="52"/>
      <c r="T672" s="53"/>
      <c r="U672" s="31"/>
      <c r="V672" s="31"/>
      <c r="W672" s="31"/>
      <c r="X672" s="31"/>
      <c r="Y672" s="31"/>
      <c r="Z672" s="31"/>
      <c r="AA672" s="31"/>
      <c r="AB672" s="31"/>
      <c r="AC672" s="31"/>
      <c r="AD672" s="31"/>
      <c r="AE672" s="31"/>
      <c r="AT672" s="19" t="s">
        <v>158</v>
      </c>
      <c r="AU672" s="19" t="s">
        <v>85</v>
      </c>
    </row>
    <row r="673" spans="2:51" s="13" customFormat="1" ht="12">
      <c r="B673" s="149"/>
      <c r="D673" s="150" t="s">
        <v>154</v>
      </c>
      <c r="E673" s="151" t="s">
        <v>3</v>
      </c>
      <c r="F673" s="152" t="s">
        <v>1930</v>
      </c>
      <c r="H673" s="151" t="s">
        <v>3</v>
      </c>
      <c r="I673" s="282"/>
      <c r="L673" s="149"/>
      <c r="M673" s="153"/>
      <c r="N673" s="154"/>
      <c r="O673" s="154"/>
      <c r="P673" s="154"/>
      <c r="Q673" s="154"/>
      <c r="R673" s="154"/>
      <c r="S673" s="154"/>
      <c r="T673" s="155"/>
      <c r="AT673" s="151" t="s">
        <v>154</v>
      </c>
      <c r="AU673" s="151" t="s">
        <v>85</v>
      </c>
      <c r="AV673" s="13" t="s">
        <v>83</v>
      </c>
      <c r="AW673" s="13" t="s">
        <v>37</v>
      </c>
      <c r="AX673" s="13" t="s">
        <v>75</v>
      </c>
      <c r="AY673" s="151" t="s">
        <v>144</v>
      </c>
    </row>
    <row r="674" spans="2:51" s="14" customFormat="1" ht="12">
      <c r="B674" s="156"/>
      <c r="D674" s="150" t="s">
        <v>154</v>
      </c>
      <c r="E674" s="157" t="s">
        <v>3</v>
      </c>
      <c r="F674" s="158" t="s">
        <v>1931</v>
      </c>
      <c r="H674" s="159">
        <f>174.5+181.2</f>
        <v>355.7</v>
      </c>
      <c r="I674" s="280"/>
      <c r="L674" s="156"/>
      <c r="M674" s="160"/>
      <c r="N674" s="161"/>
      <c r="O674" s="161"/>
      <c r="P674" s="161"/>
      <c r="Q674" s="161"/>
      <c r="R674" s="161"/>
      <c r="S674" s="161"/>
      <c r="T674" s="162"/>
      <c r="AT674" s="157" t="s">
        <v>154</v>
      </c>
      <c r="AU674" s="157" t="s">
        <v>85</v>
      </c>
      <c r="AV674" s="14" t="s">
        <v>85</v>
      </c>
      <c r="AW674" s="14" t="s">
        <v>37</v>
      </c>
      <c r="AX674" s="14" t="s">
        <v>83</v>
      </c>
      <c r="AY674" s="157" t="s">
        <v>144</v>
      </c>
    </row>
    <row r="675" spans="1:65" s="2" customFormat="1" ht="14.45" customHeight="1">
      <c r="A675" s="31"/>
      <c r="B675" s="136"/>
      <c r="C675" s="173" t="s">
        <v>820</v>
      </c>
      <c r="D675" s="173" t="s">
        <v>174</v>
      </c>
      <c r="E675" s="174" t="s">
        <v>821</v>
      </c>
      <c r="F675" s="175" t="s">
        <v>822</v>
      </c>
      <c r="G675" s="176" t="s">
        <v>183</v>
      </c>
      <c r="H675" s="177">
        <f>H676</f>
        <v>373.485</v>
      </c>
      <c r="I675" s="281"/>
      <c r="J675" s="178">
        <f>ROUND(I675*H675,2)</f>
        <v>0</v>
      </c>
      <c r="K675" s="175" t="s">
        <v>157</v>
      </c>
      <c r="L675" s="179"/>
      <c r="M675" s="180" t="s">
        <v>3</v>
      </c>
      <c r="N675" s="181" t="s">
        <v>46</v>
      </c>
      <c r="O675" s="145">
        <v>0</v>
      </c>
      <c r="P675" s="145">
        <f>O675*H675</f>
        <v>0</v>
      </c>
      <c r="Q675" s="145">
        <v>0</v>
      </c>
      <c r="R675" s="145">
        <f>Q675*H675</f>
        <v>0</v>
      </c>
      <c r="S675" s="145">
        <v>0</v>
      </c>
      <c r="T675" s="146">
        <f>S675*H675</f>
        <v>0</v>
      </c>
      <c r="U675" s="31"/>
      <c r="V675" s="31"/>
      <c r="W675" s="31"/>
      <c r="X675" s="31"/>
      <c r="Y675" s="31"/>
      <c r="Z675" s="31"/>
      <c r="AA675" s="31"/>
      <c r="AB675" s="31"/>
      <c r="AC675" s="31"/>
      <c r="AD675" s="31"/>
      <c r="AE675" s="31"/>
      <c r="AR675" s="147" t="s">
        <v>248</v>
      </c>
      <c r="AT675" s="147" t="s">
        <v>174</v>
      </c>
      <c r="AU675" s="147" t="s">
        <v>85</v>
      </c>
      <c r="AY675" s="19" t="s">
        <v>144</v>
      </c>
      <c r="BE675" s="148">
        <f>IF(N675="základní",J675,0)</f>
        <v>0</v>
      </c>
      <c r="BF675" s="148">
        <f>IF(N675="snížená",J675,0)</f>
        <v>0</v>
      </c>
      <c r="BG675" s="148">
        <f>IF(N675="zákl. přenesená",J675,0)</f>
        <v>0</v>
      </c>
      <c r="BH675" s="148">
        <f>IF(N675="sníž. přenesená",J675,0)</f>
        <v>0</v>
      </c>
      <c r="BI675" s="148">
        <f>IF(N675="nulová",J675,0)</f>
        <v>0</v>
      </c>
      <c r="BJ675" s="19" t="s">
        <v>83</v>
      </c>
      <c r="BK675" s="148">
        <f>ROUND(I675*H675,2)</f>
        <v>0</v>
      </c>
      <c r="BL675" s="19" t="s">
        <v>218</v>
      </c>
      <c r="BM675" s="147" t="s">
        <v>823</v>
      </c>
    </row>
    <row r="676" spans="2:51" s="14" customFormat="1" ht="12">
      <c r="B676" s="156"/>
      <c r="D676" s="150" t="s">
        <v>154</v>
      </c>
      <c r="F676" s="158" t="s">
        <v>1932</v>
      </c>
      <c r="H676" s="159">
        <f>H671*1.05</f>
        <v>373.485</v>
      </c>
      <c r="I676" s="280"/>
      <c r="L676" s="156"/>
      <c r="M676" s="160"/>
      <c r="N676" s="161"/>
      <c r="O676" s="161"/>
      <c r="P676" s="161"/>
      <c r="Q676" s="161"/>
      <c r="R676" s="161"/>
      <c r="S676" s="161"/>
      <c r="T676" s="162"/>
      <c r="AT676" s="157" t="s">
        <v>154</v>
      </c>
      <c r="AU676" s="157" t="s">
        <v>85</v>
      </c>
      <c r="AV676" s="14" t="s">
        <v>85</v>
      </c>
      <c r="AW676" s="14" t="s">
        <v>4</v>
      </c>
      <c r="AX676" s="14" t="s">
        <v>83</v>
      </c>
      <c r="AY676" s="157" t="s">
        <v>144</v>
      </c>
    </row>
    <row r="677" spans="1:65" s="2" customFormat="1" ht="37.9" customHeight="1">
      <c r="A677" s="31"/>
      <c r="B677" s="136"/>
      <c r="C677" s="137" t="s">
        <v>824</v>
      </c>
      <c r="D677" s="137" t="s">
        <v>147</v>
      </c>
      <c r="E677" s="138" t="s">
        <v>825</v>
      </c>
      <c r="F677" s="139" t="s">
        <v>826</v>
      </c>
      <c r="G677" s="140" t="s">
        <v>183</v>
      </c>
      <c r="H677" s="141">
        <v>66.177</v>
      </c>
      <c r="I677" s="278"/>
      <c r="J677" s="142">
        <f>ROUND(I677*H677,2)</f>
        <v>0</v>
      </c>
      <c r="K677" s="139" t="s">
        <v>157</v>
      </c>
      <c r="L677" s="32"/>
      <c r="M677" s="143" t="s">
        <v>3</v>
      </c>
      <c r="N677" s="144" t="s">
        <v>46</v>
      </c>
      <c r="O677" s="145">
        <v>0.016</v>
      </c>
      <c r="P677" s="145">
        <f>O677*H677</f>
        <v>1.0588320000000002</v>
      </c>
      <c r="Q677" s="145">
        <v>0</v>
      </c>
      <c r="R677" s="145">
        <f>Q677*H677</f>
        <v>0</v>
      </c>
      <c r="S677" s="145">
        <v>0</v>
      </c>
      <c r="T677" s="146">
        <f>S677*H677</f>
        <v>0</v>
      </c>
      <c r="U677" s="31"/>
      <c r="V677" s="31"/>
      <c r="W677" s="31"/>
      <c r="X677" s="31"/>
      <c r="Y677" s="31"/>
      <c r="Z677" s="31"/>
      <c r="AA677" s="31"/>
      <c r="AB677" s="31"/>
      <c r="AC677" s="31"/>
      <c r="AD677" s="31"/>
      <c r="AE677" s="31"/>
      <c r="AR677" s="147" t="s">
        <v>218</v>
      </c>
      <c r="AT677" s="147" t="s">
        <v>147</v>
      </c>
      <c r="AU677" s="147" t="s">
        <v>85</v>
      </c>
      <c r="AY677" s="19" t="s">
        <v>144</v>
      </c>
      <c r="BE677" s="148">
        <f>IF(N677="základní",J677,0)</f>
        <v>0</v>
      </c>
      <c r="BF677" s="148">
        <f>IF(N677="snížená",J677,0)</f>
        <v>0</v>
      </c>
      <c r="BG677" s="148">
        <f>IF(N677="zákl. přenesená",J677,0)</f>
        <v>0</v>
      </c>
      <c r="BH677" s="148">
        <f>IF(N677="sníž. přenesená",J677,0)</f>
        <v>0</v>
      </c>
      <c r="BI677" s="148">
        <f>IF(N677="nulová",J677,0)</f>
        <v>0</v>
      </c>
      <c r="BJ677" s="19" t="s">
        <v>83</v>
      </c>
      <c r="BK677" s="148">
        <f>ROUND(I677*H677,2)</f>
        <v>0</v>
      </c>
      <c r="BL677" s="19" t="s">
        <v>218</v>
      </c>
      <c r="BM677" s="147" t="s">
        <v>827</v>
      </c>
    </row>
    <row r="678" spans="1:47" s="2" customFormat="1" ht="39">
      <c r="A678" s="31"/>
      <c r="B678" s="32"/>
      <c r="C678" s="31"/>
      <c r="D678" s="150" t="s">
        <v>158</v>
      </c>
      <c r="E678" s="31"/>
      <c r="F678" s="163" t="s">
        <v>819</v>
      </c>
      <c r="G678" s="31"/>
      <c r="H678" s="31"/>
      <c r="I678" s="279"/>
      <c r="J678" s="31"/>
      <c r="K678" s="31"/>
      <c r="L678" s="32"/>
      <c r="M678" s="164"/>
      <c r="N678" s="165"/>
      <c r="O678" s="52"/>
      <c r="P678" s="52"/>
      <c r="Q678" s="52"/>
      <c r="R678" s="52"/>
      <c r="S678" s="52"/>
      <c r="T678" s="53"/>
      <c r="U678" s="31"/>
      <c r="V678" s="31"/>
      <c r="W678" s="31"/>
      <c r="X678" s="31"/>
      <c r="Y678" s="31"/>
      <c r="Z678" s="31"/>
      <c r="AA678" s="31"/>
      <c r="AB678" s="31"/>
      <c r="AC678" s="31"/>
      <c r="AD678" s="31"/>
      <c r="AE678" s="31"/>
      <c r="AT678" s="19" t="s">
        <v>158</v>
      </c>
      <c r="AU678" s="19" t="s">
        <v>85</v>
      </c>
    </row>
    <row r="679" spans="2:51" s="13" customFormat="1" ht="12">
      <c r="B679" s="149"/>
      <c r="D679" s="150" t="s">
        <v>154</v>
      </c>
      <c r="E679" s="151" t="s">
        <v>3</v>
      </c>
      <c r="F679" s="152" t="s">
        <v>219</v>
      </c>
      <c r="H679" s="151" t="s">
        <v>3</v>
      </c>
      <c r="I679" s="282"/>
      <c r="L679" s="149"/>
      <c r="M679" s="153"/>
      <c r="N679" s="154"/>
      <c r="O679" s="154"/>
      <c r="P679" s="154"/>
      <c r="Q679" s="154"/>
      <c r="R679" s="154"/>
      <c r="S679" s="154"/>
      <c r="T679" s="155"/>
      <c r="AT679" s="151" t="s">
        <v>154</v>
      </c>
      <c r="AU679" s="151" t="s">
        <v>85</v>
      </c>
      <c r="AV679" s="13" t="s">
        <v>83</v>
      </c>
      <c r="AW679" s="13" t="s">
        <v>37</v>
      </c>
      <c r="AX679" s="13" t="s">
        <v>75</v>
      </c>
      <c r="AY679" s="151" t="s">
        <v>144</v>
      </c>
    </row>
    <row r="680" spans="2:51" s="14" customFormat="1" ht="12">
      <c r="B680" s="156"/>
      <c r="D680" s="150" t="s">
        <v>154</v>
      </c>
      <c r="E680" s="157" t="s">
        <v>3</v>
      </c>
      <c r="F680" s="158" t="s">
        <v>220</v>
      </c>
      <c r="H680" s="159">
        <v>51.75</v>
      </c>
      <c r="I680" s="280"/>
      <c r="L680" s="156"/>
      <c r="M680" s="160"/>
      <c r="N680" s="161"/>
      <c r="O680" s="161"/>
      <c r="P680" s="161"/>
      <c r="Q680" s="161"/>
      <c r="R680" s="161"/>
      <c r="S680" s="161"/>
      <c r="T680" s="162"/>
      <c r="AT680" s="157" t="s">
        <v>154</v>
      </c>
      <c r="AU680" s="157" t="s">
        <v>85</v>
      </c>
      <c r="AV680" s="14" t="s">
        <v>85</v>
      </c>
      <c r="AW680" s="14" t="s">
        <v>37</v>
      </c>
      <c r="AX680" s="14" t="s">
        <v>75</v>
      </c>
      <c r="AY680" s="157" t="s">
        <v>144</v>
      </c>
    </row>
    <row r="681" spans="2:51" s="14" customFormat="1" ht="22.5">
      <c r="B681" s="156"/>
      <c r="D681" s="150" t="s">
        <v>154</v>
      </c>
      <c r="E681" s="157" t="s">
        <v>3</v>
      </c>
      <c r="F681" s="158" t="s">
        <v>221</v>
      </c>
      <c r="H681" s="159">
        <v>14.427</v>
      </c>
      <c r="I681" s="280"/>
      <c r="L681" s="156"/>
      <c r="M681" s="160"/>
      <c r="N681" s="161"/>
      <c r="O681" s="161"/>
      <c r="P681" s="161"/>
      <c r="Q681" s="161"/>
      <c r="R681" s="161"/>
      <c r="S681" s="161"/>
      <c r="T681" s="162"/>
      <c r="AT681" s="157" t="s">
        <v>154</v>
      </c>
      <c r="AU681" s="157" t="s">
        <v>85</v>
      </c>
      <c r="AV681" s="14" t="s">
        <v>85</v>
      </c>
      <c r="AW681" s="14" t="s">
        <v>37</v>
      </c>
      <c r="AX681" s="14" t="s">
        <v>75</v>
      </c>
      <c r="AY681" s="157" t="s">
        <v>144</v>
      </c>
    </row>
    <row r="682" spans="2:51" s="15" customFormat="1" ht="12">
      <c r="B682" s="166"/>
      <c r="D682" s="150" t="s">
        <v>154</v>
      </c>
      <c r="E682" s="167" t="s">
        <v>3</v>
      </c>
      <c r="F682" s="168" t="s">
        <v>161</v>
      </c>
      <c r="H682" s="169">
        <v>66.17699999999999</v>
      </c>
      <c r="I682" s="284"/>
      <c r="L682" s="166"/>
      <c r="M682" s="170"/>
      <c r="N682" s="171"/>
      <c r="O682" s="171"/>
      <c r="P682" s="171"/>
      <c r="Q682" s="171"/>
      <c r="R682" s="171"/>
      <c r="S682" s="171"/>
      <c r="T682" s="172"/>
      <c r="AT682" s="167" t="s">
        <v>154</v>
      </c>
      <c r="AU682" s="167" t="s">
        <v>85</v>
      </c>
      <c r="AV682" s="15" t="s">
        <v>152</v>
      </c>
      <c r="AW682" s="15" t="s">
        <v>37</v>
      </c>
      <c r="AX682" s="15" t="s">
        <v>83</v>
      </c>
      <c r="AY682" s="167" t="s">
        <v>144</v>
      </c>
    </row>
    <row r="683" spans="1:65" s="2" customFormat="1" ht="14.45" customHeight="1">
      <c r="A683" s="31"/>
      <c r="B683" s="136"/>
      <c r="C683" s="173" t="s">
        <v>828</v>
      </c>
      <c r="D683" s="173" t="s">
        <v>174</v>
      </c>
      <c r="E683" s="174" t="s">
        <v>821</v>
      </c>
      <c r="F683" s="175" t="s">
        <v>822</v>
      </c>
      <c r="G683" s="176" t="s">
        <v>183</v>
      </c>
      <c r="H683" s="177">
        <v>69.486</v>
      </c>
      <c r="I683" s="281"/>
      <c r="J683" s="178">
        <f>ROUND(I683*H683,2)</f>
        <v>0</v>
      </c>
      <c r="K683" s="175" t="s">
        <v>157</v>
      </c>
      <c r="L683" s="179"/>
      <c r="M683" s="180" t="s">
        <v>3</v>
      </c>
      <c r="N683" s="181" t="s">
        <v>46</v>
      </c>
      <c r="O683" s="145">
        <v>0</v>
      </c>
      <c r="P683" s="145">
        <f>O683*H683</f>
        <v>0</v>
      </c>
      <c r="Q683" s="145">
        <v>0</v>
      </c>
      <c r="R683" s="145">
        <f>Q683*H683</f>
        <v>0</v>
      </c>
      <c r="S683" s="145">
        <v>0</v>
      </c>
      <c r="T683" s="146">
        <f>S683*H683</f>
        <v>0</v>
      </c>
      <c r="U683" s="31"/>
      <c r="V683" s="31"/>
      <c r="W683" s="31"/>
      <c r="X683" s="31"/>
      <c r="Y683" s="31"/>
      <c r="Z683" s="31"/>
      <c r="AA683" s="31"/>
      <c r="AB683" s="31"/>
      <c r="AC683" s="31"/>
      <c r="AD683" s="31"/>
      <c r="AE683" s="31"/>
      <c r="AR683" s="147" t="s">
        <v>248</v>
      </c>
      <c r="AT683" s="147" t="s">
        <v>174</v>
      </c>
      <c r="AU683" s="147" t="s">
        <v>85</v>
      </c>
      <c r="AY683" s="19" t="s">
        <v>144</v>
      </c>
      <c r="BE683" s="148">
        <f>IF(N683="základní",J683,0)</f>
        <v>0</v>
      </c>
      <c r="BF683" s="148">
        <f>IF(N683="snížená",J683,0)</f>
        <v>0</v>
      </c>
      <c r="BG683" s="148">
        <f>IF(N683="zákl. přenesená",J683,0)</f>
        <v>0</v>
      </c>
      <c r="BH683" s="148">
        <f>IF(N683="sníž. přenesená",J683,0)</f>
        <v>0</v>
      </c>
      <c r="BI683" s="148">
        <f>IF(N683="nulová",J683,0)</f>
        <v>0</v>
      </c>
      <c r="BJ683" s="19" t="s">
        <v>83</v>
      </c>
      <c r="BK683" s="148">
        <f>ROUND(I683*H683,2)</f>
        <v>0</v>
      </c>
      <c r="BL683" s="19" t="s">
        <v>218</v>
      </c>
      <c r="BM683" s="147" t="s">
        <v>829</v>
      </c>
    </row>
    <row r="684" spans="2:51" s="14" customFormat="1" ht="12">
      <c r="B684" s="156"/>
      <c r="D684" s="150" t="s">
        <v>154</v>
      </c>
      <c r="F684" s="158" t="s">
        <v>830</v>
      </c>
      <c r="H684" s="159">
        <v>69.486</v>
      </c>
      <c r="I684" s="280"/>
      <c r="L684" s="156"/>
      <c r="M684" s="160"/>
      <c r="N684" s="161"/>
      <c r="O684" s="161"/>
      <c r="P684" s="161"/>
      <c r="Q684" s="161"/>
      <c r="R684" s="161"/>
      <c r="S684" s="161"/>
      <c r="T684" s="162"/>
      <c r="AT684" s="157" t="s">
        <v>154</v>
      </c>
      <c r="AU684" s="157" t="s">
        <v>85</v>
      </c>
      <c r="AV684" s="14" t="s">
        <v>85</v>
      </c>
      <c r="AW684" s="14" t="s">
        <v>4</v>
      </c>
      <c r="AX684" s="14" t="s">
        <v>83</v>
      </c>
      <c r="AY684" s="157" t="s">
        <v>144</v>
      </c>
    </row>
    <row r="685" spans="1:65" s="2" customFormat="1" ht="24.2" customHeight="1">
      <c r="A685" s="31"/>
      <c r="B685" s="136"/>
      <c r="C685" s="137" t="s">
        <v>831</v>
      </c>
      <c r="D685" s="137" t="s">
        <v>147</v>
      </c>
      <c r="E685" s="138" t="s">
        <v>832</v>
      </c>
      <c r="F685" s="139" t="s">
        <v>833</v>
      </c>
      <c r="G685" s="140" t="s">
        <v>183</v>
      </c>
      <c r="H685" s="141">
        <f>H689</f>
        <v>1463.52</v>
      </c>
      <c r="I685" s="278"/>
      <c r="J685" s="142">
        <f>ROUND(I685*H685,2)</f>
        <v>0</v>
      </c>
      <c r="K685" s="139" t="s">
        <v>157</v>
      </c>
      <c r="L685" s="32"/>
      <c r="M685" s="143" t="s">
        <v>3</v>
      </c>
      <c r="N685" s="144" t="s">
        <v>46</v>
      </c>
      <c r="O685" s="145">
        <v>0.012</v>
      </c>
      <c r="P685" s="145">
        <f>O685*H685</f>
        <v>17.56224</v>
      </c>
      <c r="Q685" s="145">
        <v>0</v>
      </c>
      <c r="R685" s="145">
        <f>Q685*H685</f>
        <v>0</v>
      </c>
      <c r="S685" s="145">
        <v>0</v>
      </c>
      <c r="T685" s="146">
        <f>S685*H685</f>
        <v>0</v>
      </c>
      <c r="U685" s="31"/>
      <c r="V685" s="31"/>
      <c r="W685" s="31"/>
      <c r="X685" s="31"/>
      <c r="Y685" s="31"/>
      <c r="Z685" s="31"/>
      <c r="AA685" s="31"/>
      <c r="AB685" s="31"/>
      <c r="AC685" s="31"/>
      <c r="AD685" s="31"/>
      <c r="AE685" s="31"/>
      <c r="AR685" s="147" t="s">
        <v>218</v>
      </c>
      <c r="AT685" s="147" t="s">
        <v>147</v>
      </c>
      <c r="AU685" s="147" t="s">
        <v>85</v>
      </c>
      <c r="AY685" s="19" t="s">
        <v>144</v>
      </c>
      <c r="BE685" s="148">
        <f>IF(N685="základní",J685,0)</f>
        <v>0</v>
      </c>
      <c r="BF685" s="148">
        <f>IF(N685="snížená",J685,0)</f>
        <v>0</v>
      </c>
      <c r="BG685" s="148">
        <f>IF(N685="zákl. přenesená",J685,0)</f>
        <v>0</v>
      </c>
      <c r="BH685" s="148">
        <f>IF(N685="sníž. přenesená",J685,0)</f>
        <v>0</v>
      </c>
      <c r="BI685" s="148">
        <f>IF(N685="nulová",J685,0)</f>
        <v>0</v>
      </c>
      <c r="BJ685" s="19" t="s">
        <v>83</v>
      </c>
      <c r="BK685" s="148">
        <f>ROUND(I685*H685,2)</f>
        <v>0</v>
      </c>
      <c r="BL685" s="19" t="s">
        <v>218</v>
      </c>
      <c r="BM685" s="147" t="s">
        <v>834</v>
      </c>
    </row>
    <row r="686" spans="2:51" s="13" customFormat="1" ht="12">
      <c r="B686" s="149"/>
      <c r="D686" s="150" t="s">
        <v>154</v>
      </c>
      <c r="E686" s="151" t="s">
        <v>3</v>
      </c>
      <c r="F686" s="152" t="s">
        <v>216</v>
      </c>
      <c r="H686" s="151" t="s">
        <v>3</v>
      </c>
      <c r="I686" s="282"/>
      <c r="L686" s="149"/>
      <c r="M686" s="153"/>
      <c r="N686" s="154"/>
      <c r="O686" s="154"/>
      <c r="P686" s="154"/>
      <c r="Q686" s="154"/>
      <c r="R686" s="154"/>
      <c r="S686" s="154"/>
      <c r="T686" s="155"/>
      <c r="AT686" s="151" t="s">
        <v>154</v>
      </c>
      <c r="AU686" s="151" t="s">
        <v>85</v>
      </c>
      <c r="AV686" s="13" t="s">
        <v>83</v>
      </c>
      <c r="AW686" s="13" t="s">
        <v>37</v>
      </c>
      <c r="AX686" s="13" t="s">
        <v>75</v>
      </c>
      <c r="AY686" s="151" t="s">
        <v>144</v>
      </c>
    </row>
    <row r="687" spans="2:51" s="14" customFormat="1" ht="12">
      <c r="B687" s="156"/>
      <c r="D687" s="150" t="s">
        <v>154</v>
      </c>
      <c r="E687" s="157" t="s">
        <v>3</v>
      </c>
      <c r="F687" s="158" t="s">
        <v>1934</v>
      </c>
      <c r="H687" s="159">
        <v>1435.56</v>
      </c>
      <c r="I687" s="280"/>
      <c r="L687" s="156"/>
      <c r="M687" s="160"/>
      <c r="N687" s="161"/>
      <c r="O687" s="161"/>
      <c r="P687" s="161"/>
      <c r="Q687" s="161"/>
      <c r="R687" s="161"/>
      <c r="S687" s="161"/>
      <c r="T687" s="162"/>
      <c r="AT687" s="157" t="s">
        <v>154</v>
      </c>
      <c r="AU687" s="157" t="s">
        <v>85</v>
      </c>
      <c r="AV687" s="14" t="s">
        <v>85</v>
      </c>
      <c r="AW687" s="14" t="s">
        <v>37</v>
      </c>
      <c r="AX687" s="14" t="s">
        <v>75</v>
      </c>
      <c r="AY687" s="157" t="s">
        <v>144</v>
      </c>
    </row>
    <row r="688" spans="2:51" s="14" customFormat="1" ht="12">
      <c r="B688" s="156"/>
      <c r="D688" s="150" t="s">
        <v>154</v>
      </c>
      <c r="E688" s="157" t="s">
        <v>3</v>
      </c>
      <c r="F688" s="158" t="s">
        <v>1933</v>
      </c>
      <c r="H688" s="159">
        <v>27.96</v>
      </c>
      <c r="I688" s="280"/>
      <c r="L688" s="156"/>
      <c r="M688" s="160"/>
      <c r="N688" s="161"/>
      <c r="O688" s="161"/>
      <c r="P688" s="161"/>
      <c r="Q688" s="161"/>
      <c r="R688" s="161"/>
      <c r="S688" s="161"/>
      <c r="T688" s="162"/>
      <c r="AT688" s="157" t="s">
        <v>154</v>
      </c>
      <c r="AU688" s="157" t="s">
        <v>85</v>
      </c>
      <c r="AV688" s="14" t="s">
        <v>85</v>
      </c>
      <c r="AW688" s="14" t="s">
        <v>37</v>
      </c>
      <c r="AX688" s="14" t="s">
        <v>75</v>
      </c>
      <c r="AY688" s="157" t="s">
        <v>144</v>
      </c>
    </row>
    <row r="689" spans="2:51" s="15" customFormat="1" ht="12">
      <c r="B689" s="166"/>
      <c r="D689" s="150" t="s">
        <v>154</v>
      </c>
      <c r="E689" s="167" t="s">
        <v>3</v>
      </c>
      <c r="F689" s="168" t="s">
        <v>161</v>
      </c>
      <c r="H689" s="169">
        <f>H687+H688</f>
        <v>1463.52</v>
      </c>
      <c r="I689" s="284"/>
      <c r="L689" s="166"/>
      <c r="M689" s="170"/>
      <c r="N689" s="171"/>
      <c r="O689" s="171"/>
      <c r="P689" s="171"/>
      <c r="Q689" s="171"/>
      <c r="R689" s="171"/>
      <c r="S689" s="171"/>
      <c r="T689" s="172"/>
      <c r="AT689" s="167" t="s">
        <v>154</v>
      </c>
      <c r="AU689" s="167" t="s">
        <v>85</v>
      </c>
      <c r="AV689" s="15" t="s">
        <v>152</v>
      </c>
      <c r="AW689" s="15" t="s">
        <v>37</v>
      </c>
      <c r="AX689" s="15" t="s">
        <v>83</v>
      </c>
      <c r="AY689" s="167" t="s">
        <v>144</v>
      </c>
    </row>
    <row r="690" spans="1:65" s="2" customFormat="1" ht="24.2" customHeight="1">
      <c r="A690" s="31"/>
      <c r="B690" s="136"/>
      <c r="C690" s="137" t="s">
        <v>835</v>
      </c>
      <c r="D690" s="137" t="s">
        <v>147</v>
      </c>
      <c r="E690" s="138" t="s">
        <v>836</v>
      </c>
      <c r="F690" s="139" t="s">
        <v>837</v>
      </c>
      <c r="G690" s="140" t="s">
        <v>183</v>
      </c>
      <c r="H690" s="141">
        <f>H685</f>
        <v>1463.52</v>
      </c>
      <c r="I690" s="278"/>
      <c r="J690" s="142">
        <f>ROUND(I690*H690,2)</f>
        <v>0</v>
      </c>
      <c r="K690" s="139" t="s">
        <v>157</v>
      </c>
      <c r="L690" s="32"/>
      <c r="M690" s="143" t="s">
        <v>3</v>
      </c>
      <c r="N690" s="144" t="s">
        <v>46</v>
      </c>
      <c r="O690" s="145">
        <v>0.033</v>
      </c>
      <c r="P690" s="145">
        <f>O690*H690</f>
        <v>48.29616</v>
      </c>
      <c r="Q690" s="145">
        <v>0.0002</v>
      </c>
      <c r="R690" s="145">
        <f>Q690*H690</f>
        <v>0.292704</v>
      </c>
      <c r="S690" s="145">
        <v>0</v>
      </c>
      <c r="T690" s="146">
        <f>S690*H690</f>
        <v>0</v>
      </c>
      <c r="U690" s="31"/>
      <c r="V690" s="31"/>
      <c r="W690" s="31"/>
      <c r="X690" s="31"/>
      <c r="Y690" s="31"/>
      <c r="Z690" s="31"/>
      <c r="AA690" s="31"/>
      <c r="AB690" s="31"/>
      <c r="AC690" s="31"/>
      <c r="AD690" s="31"/>
      <c r="AE690" s="31"/>
      <c r="AR690" s="147" t="s">
        <v>218</v>
      </c>
      <c r="AT690" s="147" t="s">
        <v>147</v>
      </c>
      <c r="AU690" s="147" t="s">
        <v>85</v>
      </c>
      <c r="AY690" s="19" t="s">
        <v>144</v>
      </c>
      <c r="BE690" s="148">
        <f>IF(N690="základní",J690,0)</f>
        <v>0</v>
      </c>
      <c r="BF690" s="148">
        <f>IF(N690="snížená",J690,0)</f>
        <v>0</v>
      </c>
      <c r="BG690" s="148">
        <f>IF(N690="zákl. přenesená",J690,0)</f>
        <v>0</v>
      </c>
      <c r="BH690" s="148">
        <f>IF(N690="sníž. přenesená",J690,0)</f>
        <v>0</v>
      </c>
      <c r="BI690" s="148">
        <f>IF(N690="nulová",J690,0)</f>
        <v>0</v>
      </c>
      <c r="BJ690" s="19" t="s">
        <v>83</v>
      </c>
      <c r="BK690" s="148">
        <f>ROUND(I690*H690,2)</f>
        <v>0</v>
      </c>
      <c r="BL690" s="19" t="s">
        <v>218</v>
      </c>
      <c r="BM690" s="147" t="s">
        <v>838</v>
      </c>
    </row>
    <row r="691" spans="1:65" s="2" customFormat="1" ht="37.9" customHeight="1">
      <c r="A691" s="31"/>
      <c r="B691" s="136"/>
      <c r="C691" s="137" t="s">
        <v>839</v>
      </c>
      <c r="D691" s="137" t="s">
        <v>147</v>
      </c>
      <c r="E691" s="138" t="s">
        <v>840</v>
      </c>
      <c r="F691" s="139" t="s">
        <v>841</v>
      </c>
      <c r="G691" s="140" t="s">
        <v>183</v>
      </c>
      <c r="H691" s="141">
        <f>H685</f>
        <v>1463.52</v>
      </c>
      <c r="I691" s="278"/>
      <c r="J691" s="142">
        <f>ROUND(I691*H691,2)</f>
        <v>0</v>
      </c>
      <c r="K691" s="139" t="s">
        <v>157</v>
      </c>
      <c r="L691" s="32"/>
      <c r="M691" s="143" t="s">
        <v>3</v>
      </c>
      <c r="N691" s="144" t="s">
        <v>46</v>
      </c>
      <c r="O691" s="145">
        <v>0.104</v>
      </c>
      <c r="P691" s="145">
        <f>O691*H691</f>
        <v>152.20608</v>
      </c>
      <c r="Q691" s="145">
        <v>0.00026</v>
      </c>
      <c r="R691" s="145">
        <f>Q691*H691</f>
        <v>0.38051519999999994</v>
      </c>
      <c r="S691" s="145">
        <v>0</v>
      </c>
      <c r="T691" s="146">
        <f>S691*H691</f>
        <v>0</v>
      </c>
      <c r="U691" s="31"/>
      <c r="V691" s="31"/>
      <c r="W691" s="31"/>
      <c r="X691" s="31"/>
      <c r="Y691" s="31"/>
      <c r="Z691" s="31"/>
      <c r="AA691" s="31"/>
      <c r="AB691" s="31"/>
      <c r="AC691" s="31"/>
      <c r="AD691" s="31"/>
      <c r="AE691" s="31"/>
      <c r="AR691" s="147" t="s">
        <v>218</v>
      </c>
      <c r="AT691" s="147" t="s">
        <v>147</v>
      </c>
      <c r="AU691" s="147" t="s">
        <v>85</v>
      </c>
      <c r="AY691" s="19" t="s">
        <v>144</v>
      </c>
      <c r="BE691" s="148">
        <f>IF(N691="základní",J691,0)</f>
        <v>0</v>
      </c>
      <c r="BF691" s="148">
        <f>IF(N691="snížená",J691,0)</f>
        <v>0</v>
      </c>
      <c r="BG691" s="148">
        <f>IF(N691="zákl. přenesená",J691,0)</f>
        <v>0</v>
      </c>
      <c r="BH691" s="148">
        <f>IF(N691="sníž. přenesená",J691,0)</f>
        <v>0</v>
      </c>
      <c r="BI691" s="148">
        <f>IF(N691="nulová",J691,0)</f>
        <v>0</v>
      </c>
      <c r="BJ691" s="19" t="s">
        <v>83</v>
      </c>
      <c r="BK691" s="148">
        <f>ROUND(I691*H691,2)</f>
        <v>0</v>
      </c>
      <c r="BL691" s="19" t="s">
        <v>218</v>
      </c>
      <c r="BM691" s="147" t="s">
        <v>842</v>
      </c>
    </row>
    <row r="692" spans="1:65" s="2" customFormat="1" ht="37.9" customHeight="1">
      <c r="A692" s="31"/>
      <c r="B692" s="136"/>
      <c r="C692" s="137" t="s">
        <v>843</v>
      </c>
      <c r="D692" s="137" t="s">
        <v>147</v>
      </c>
      <c r="E692" s="138" t="s">
        <v>844</v>
      </c>
      <c r="F692" s="139" t="s">
        <v>845</v>
      </c>
      <c r="G692" s="140" t="s">
        <v>183</v>
      </c>
      <c r="H692" s="141">
        <v>51.75</v>
      </c>
      <c r="I692" s="278"/>
      <c r="J692" s="142">
        <f>ROUND(I692*H692,2)</f>
        <v>0</v>
      </c>
      <c r="K692" s="139" t="s">
        <v>157</v>
      </c>
      <c r="L692" s="32"/>
      <c r="M692" s="143" t="s">
        <v>3</v>
      </c>
      <c r="N692" s="144" t="s">
        <v>46</v>
      </c>
      <c r="O692" s="145">
        <v>0.024</v>
      </c>
      <c r="P692" s="145">
        <f>O692*H692</f>
        <v>1.242</v>
      </c>
      <c r="Q692" s="145">
        <v>1E-05</v>
      </c>
      <c r="R692" s="145">
        <f>Q692*H692</f>
        <v>0.0005175000000000001</v>
      </c>
      <c r="S692" s="145">
        <v>0</v>
      </c>
      <c r="T692" s="146">
        <f>S692*H692</f>
        <v>0</v>
      </c>
      <c r="U692" s="31"/>
      <c r="V692" s="31"/>
      <c r="W692" s="31"/>
      <c r="X692" s="31"/>
      <c r="Y692" s="31"/>
      <c r="Z692" s="31"/>
      <c r="AA692" s="31"/>
      <c r="AB692" s="31"/>
      <c r="AC692" s="31"/>
      <c r="AD692" s="31"/>
      <c r="AE692" s="31"/>
      <c r="AR692" s="147" t="s">
        <v>218</v>
      </c>
      <c r="AT692" s="147" t="s">
        <v>147</v>
      </c>
      <c r="AU692" s="147" t="s">
        <v>85</v>
      </c>
      <c r="AY692" s="19" t="s">
        <v>144</v>
      </c>
      <c r="BE692" s="148">
        <f>IF(N692="základní",J692,0)</f>
        <v>0</v>
      </c>
      <c r="BF692" s="148">
        <f>IF(N692="snížená",J692,0)</f>
        <v>0</v>
      </c>
      <c r="BG692" s="148">
        <f>IF(N692="zákl. přenesená",J692,0)</f>
        <v>0</v>
      </c>
      <c r="BH692" s="148">
        <f>IF(N692="sníž. přenesená",J692,0)</f>
        <v>0</v>
      </c>
      <c r="BI692" s="148">
        <f>IF(N692="nulová",J692,0)</f>
        <v>0</v>
      </c>
      <c r="BJ692" s="19" t="s">
        <v>83</v>
      </c>
      <c r="BK692" s="148">
        <f>ROUND(I692*H692,2)</f>
        <v>0</v>
      </c>
      <c r="BL692" s="19" t="s">
        <v>218</v>
      </c>
      <c r="BM692" s="147" t="s">
        <v>846</v>
      </c>
    </row>
    <row r="693" spans="2:51" s="13" customFormat="1" ht="12">
      <c r="B693" s="149"/>
      <c r="D693" s="150" t="s">
        <v>154</v>
      </c>
      <c r="E693" s="151" t="s">
        <v>3</v>
      </c>
      <c r="F693" s="152" t="s">
        <v>219</v>
      </c>
      <c r="H693" s="151" t="s">
        <v>3</v>
      </c>
      <c r="I693" s="282"/>
      <c r="L693" s="149"/>
      <c r="M693" s="153"/>
      <c r="N693" s="154"/>
      <c r="O693" s="154"/>
      <c r="P693" s="154"/>
      <c r="Q693" s="154"/>
      <c r="R693" s="154"/>
      <c r="S693" s="154"/>
      <c r="T693" s="155"/>
      <c r="AT693" s="151" t="s">
        <v>154</v>
      </c>
      <c r="AU693" s="151" t="s">
        <v>85</v>
      </c>
      <c r="AV693" s="13" t="s">
        <v>83</v>
      </c>
      <c r="AW693" s="13" t="s">
        <v>37</v>
      </c>
      <c r="AX693" s="13" t="s">
        <v>75</v>
      </c>
      <c r="AY693" s="151" t="s">
        <v>144</v>
      </c>
    </row>
    <row r="694" spans="2:51" s="14" customFormat="1" ht="12">
      <c r="B694" s="156"/>
      <c r="D694" s="150" t="s">
        <v>154</v>
      </c>
      <c r="E694" s="157" t="s">
        <v>3</v>
      </c>
      <c r="F694" s="158" t="s">
        <v>220</v>
      </c>
      <c r="H694" s="159">
        <v>51.75</v>
      </c>
      <c r="I694" s="280"/>
      <c r="L694" s="156"/>
      <c r="M694" s="160"/>
      <c r="N694" s="161"/>
      <c r="O694" s="161"/>
      <c r="P694" s="161"/>
      <c r="Q694" s="161"/>
      <c r="R694" s="161"/>
      <c r="S694" s="161"/>
      <c r="T694" s="162"/>
      <c r="AT694" s="157" t="s">
        <v>154</v>
      </c>
      <c r="AU694" s="157" t="s">
        <v>85</v>
      </c>
      <c r="AV694" s="14" t="s">
        <v>85</v>
      </c>
      <c r="AW694" s="14" t="s">
        <v>37</v>
      </c>
      <c r="AX694" s="14" t="s">
        <v>83</v>
      </c>
      <c r="AY694" s="157" t="s">
        <v>144</v>
      </c>
    </row>
    <row r="695" spans="1:65" s="2" customFormat="1" ht="24.2" customHeight="1">
      <c r="A695" s="31"/>
      <c r="B695" s="136"/>
      <c r="C695" s="137" t="s">
        <v>847</v>
      </c>
      <c r="D695" s="137" t="s">
        <v>147</v>
      </c>
      <c r="E695" s="138" t="s">
        <v>848</v>
      </c>
      <c r="F695" s="139" t="s">
        <v>849</v>
      </c>
      <c r="G695" s="140" t="s">
        <v>183</v>
      </c>
      <c r="H695" s="141">
        <v>14.427</v>
      </c>
      <c r="I695" s="278"/>
      <c r="J695" s="142">
        <f>ROUND(I695*H695,2)</f>
        <v>0</v>
      </c>
      <c r="K695" s="139" t="s">
        <v>157</v>
      </c>
      <c r="L695" s="32"/>
      <c r="M695" s="143" t="s">
        <v>3</v>
      </c>
      <c r="N695" s="144" t="s">
        <v>46</v>
      </c>
      <c r="O695" s="145">
        <v>0.034</v>
      </c>
      <c r="P695" s="145">
        <f>O695*H695</f>
        <v>0.490518</v>
      </c>
      <c r="Q695" s="145">
        <v>1E-05</v>
      </c>
      <c r="R695" s="145">
        <f>Q695*H695</f>
        <v>0.00014427</v>
      </c>
      <c r="S695" s="145">
        <v>0</v>
      </c>
      <c r="T695" s="146">
        <f>S695*H695</f>
        <v>0</v>
      </c>
      <c r="U695" s="31"/>
      <c r="V695" s="31"/>
      <c r="W695" s="31"/>
      <c r="X695" s="31"/>
      <c r="Y695" s="31"/>
      <c r="Z695" s="31"/>
      <c r="AA695" s="31"/>
      <c r="AB695" s="31"/>
      <c r="AC695" s="31"/>
      <c r="AD695" s="31"/>
      <c r="AE695" s="31"/>
      <c r="AR695" s="147" t="s">
        <v>218</v>
      </c>
      <c r="AT695" s="147" t="s">
        <v>147</v>
      </c>
      <c r="AU695" s="147" t="s">
        <v>85</v>
      </c>
      <c r="AY695" s="19" t="s">
        <v>144</v>
      </c>
      <c r="BE695" s="148">
        <f>IF(N695="základní",J695,0)</f>
        <v>0</v>
      </c>
      <c r="BF695" s="148">
        <f>IF(N695="snížená",J695,0)</f>
        <v>0</v>
      </c>
      <c r="BG695" s="148">
        <f>IF(N695="zákl. přenesená",J695,0)</f>
        <v>0</v>
      </c>
      <c r="BH695" s="148">
        <f>IF(N695="sníž. přenesená",J695,0)</f>
        <v>0</v>
      </c>
      <c r="BI695" s="148">
        <f>IF(N695="nulová",J695,0)</f>
        <v>0</v>
      </c>
      <c r="BJ695" s="19" t="s">
        <v>83</v>
      </c>
      <c r="BK695" s="148">
        <f>ROUND(I695*H695,2)</f>
        <v>0</v>
      </c>
      <c r="BL695" s="19" t="s">
        <v>218</v>
      </c>
      <c r="BM695" s="147" t="s">
        <v>850</v>
      </c>
    </row>
    <row r="696" spans="2:51" s="13" customFormat="1" ht="12">
      <c r="B696" s="149"/>
      <c r="D696" s="150" t="s">
        <v>154</v>
      </c>
      <c r="E696" s="151" t="s">
        <v>3</v>
      </c>
      <c r="F696" s="152" t="s">
        <v>219</v>
      </c>
      <c r="H696" s="151" t="s">
        <v>3</v>
      </c>
      <c r="I696" s="282"/>
      <c r="L696" s="149"/>
      <c r="M696" s="153"/>
      <c r="N696" s="154"/>
      <c r="O696" s="154"/>
      <c r="P696" s="154"/>
      <c r="Q696" s="154"/>
      <c r="R696" s="154"/>
      <c r="S696" s="154"/>
      <c r="T696" s="155"/>
      <c r="AT696" s="151" t="s">
        <v>154</v>
      </c>
      <c r="AU696" s="151" t="s">
        <v>85</v>
      </c>
      <c r="AV696" s="13" t="s">
        <v>83</v>
      </c>
      <c r="AW696" s="13" t="s">
        <v>37</v>
      </c>
      <c r="AX696" s="13" t="s">
        <v>75</v>
      </c>
      <c r="AY696" s="151" t="s">
        <v>144</v>
      </c>
    </row>
    <row r="697" spans="2:51" s="14" customFormat="1" ht="22.5">
      <c r="B697" s="156"/>
      <c r="D697" s="150" t="s">
        <v>154</v>
      </c>
      <c r="E697" s="157" t="s">
        <v>3</v>
      </c>
      <c r="F697" s="158" t="s">
        <v>221</v>
      </c>
      <c r="H697" s="159">
        <v>14.427</v>
      </c>
      <c r="I697" s="280"/>
      <c r="L697" s="156"/>
      <c r="M697" s="160"/>
      <c r="N697" s="161"/>
      <c r="O697" s="161"/>
      <c r="P697" s="161"/>
      <c r="Q697" s="161"/>
      <c r="R697" s="161"/>
      <c r="S697" s="161"/>
      <c r="T697" s="162"/>
      <c r="AT697" s="157" t="s">
        <v>154</v>
      </c>
      <c r="AU697" s="157" t="s">
        <v>85</v>
      </c>
      <c r="AV697" s="14" t="s">
        <v>85</v>
      </c>
      <c r="AW697" s="14" t="s">
        <v>37</v>
      </c>
      <c r="AX697" s="14" t="s">
        <v>83</v>
      </c>
      <c r="AY697" s="157" t="s">
        <v>144</v>
      </c>
    </row>
    <row r="698" spans="1:65" s="2" customFormat="1" ht="24.2" customHeight="1">
      <c r="A698" s="31"/>
      <c r="B698" s="136"/>
      <c r="C698" s="137" t="s">
        <v>851</v>
      </c>
      <c r="D698" s="137" t="s">
        <v>147</v>
      </c>
      <c r="E698" s="138" t="s">
        <v>852</v>
      </c>
      <c r="F698" s="139" t="s">
        <v>853</v>
      </c>
      <c r="G698" s="140" t="s">
        <v>183</v>
      </c>
      <c r="H698" s="141">
        <f>H671</f>
        <v>355.7</v>
      </c>
      <c r="I698" s="278"/>
      <c r="J698" s="142">
        <f>ROUND(I698*H698,2)</f>
        <v>0</v>
      </c>
      <c r="K698" s="139" t="s">
        <v>157</v>
      </c>
      <c r="L698" s="32"/>
      <c r="M698" s="143" t="s">
        <v>3</v>
      </c>
      <c r="N698" s="144" t="s">
        <v>46</v>
      </c>
      <c r="O698" s="145">
        <v>0.005</v>
      </c>
      <c r="P698" s="145">
        <f>O698*H698</f>
        <v>1.7785</v>
      </c>
      <c r="Q698" s="145">
        <v>1E-05</v>
      </c>
      <c r="R698" s="145">
        <f>Q698*H698</f>
        <v>0.0035570000000000003</v>
      </c>
      <c r="S698" s="145">
        <v>0</v>
      </c>
      <c r="T698" s="146">
        <f>S698*H698</f>
        <v>0</v>
      </c>
      <c r="U698" s="31"/>
      <c r="V698" s="31"/>
      <c r="W698" s="31"/>
      <c r="X698" s="31"/>
      <c r="Y698" s="31"/>
      <c r="Z698" s="31"/>
      <c r="AA698" s="31"/>
      <c r="AB698" s="31"/>
      <c r="AC698" s="31"/>
      <c r="AD698" s="31"/>
      <c r="AE698" s="31"/>
      <c r="AR698" s="147" t="s">
        <v>218</v>
      </c>
      <c r="AT698" s="147" t="s">
        <v>147</v>
      </c>
      <c r="AU698" s="147" t="s">
        <v>85</v>
      </c>
      <c r="AY698" s="19" t="s">
        <v>144</v>
      </c>
      <c r="BE698" s="148">
        <f>IF(N698="základní",J698,0)</f>
        <v>0</v>
      </c>
      <c r="BF698" s="148">
        <f>IF(N698="snížená",J698,0)</f>
        <v>0</v>
      </c>
      <c r="BG698" s="148">
        <f>IF(N698="zákl. přenesená",J698,0)</f>
        <v>0</v>
      </c>
      <c r="BH698" s="148">
        <f>IF(N698="sníž. přenesená",J698,0)</f>
        <v>0</v>
      </c>
      <c r="BI698" s="148">
        <f>IF(N698="nulová",J698,0)</f>
        <v>0</v>
      </c>
      <c r="BJ698" s="19" t="s">
        <v>83</v>
      </c>
      <c r="BK698" s="148">
        <f>ROUND(I698*H698,2)</f>
        <v>0</v>
      </c>
      <c r="BL698" s="19" t="s">
        <v>218</v>
      </c>
      <c r="BM698" s="147" t="s">
        <v>854</v>
      </c>
    </row>
    <row r="699" spans="2:51" s="13" customFormat="1" ht="12">
      <c r="B699" s="149"/>
      <c r="D699" s="150" t="s">
        <v>154</v>
      </c>
      <c r="E699" s="151" t="s">
        <v>3</v>
      </c>
      <c r="F699" s="152" t="s">
        <v>216</v>
      </c>
      <c r="H699" s="151" t="s">
        <v>3</v>
      </c>
      <c r="I699" s="282"/>
      <c r="L699" s="149"/>
      <c r="M699" s="153"/>
      <c r="N699" s="154"/>
      <c r="O699" s="154"/>
      <c r="P699" s="154"/>
      <c r="Q699" s="154"/>
      <c r="R699" s="154"/>
      <c r="S699" s="154"/>
      <c r="T699" s="155"/>
      <c r="AT699" s="151" t="s">
        <v>154</v>
      </c>
      <c r="AU699" s="151" t="s">
        <v>85</v>
      </c>
      <c r="AV699" s="13" t="s">
        <v>83</v>
      </c>
      <c r="AW699" s="13" t="s">
        <v>37</v>
      </c>
      <c r="AX699" s="13" t="s">
        <v>75</v>
      </c>
      <c r="AY699" s="151" t="s">
        <v>144</v>
      </c>
    </row>
    <row r="700" spans="2:63" s="12" customFormat="1" ht="22.9" customHeight="1">
      <c r="B700" s="124"/>
      <c r="D700" s="125" t="s">
        <v>74</v>
      </c>
      <c r="E700" s="134" t="s">
        <v>855</v>
      </c>
      <c r="F700" s="134" t="s">
        <v>856</v>
      </c>
      <c r="J700" s="135">
        <f>BK700</f>
        <v>0</v>
      </c>
      <c r="L700" s="124"/>
      <c r="M700" s="128"/>
      <c r="N700" s="129"/>
      <c r="O700" s="129"/>
      <c r="P700" s="130">
        <f>SUM(P701:P709)</f>
        <v>0</v>
      </c>
      <c r="Q700" s="129"/>
      <c r="R700" s="130">
        <f>SUM(R701:R709)</f>
        <v>0</v>
      </c>
      <c r="S700" s="129"/>
      <c r="T700" s="131">
        <f>SUM(T701:T709)</f>
        <v>0</v>
      </c>
      <c r="AR700" s="125" t="s">
        <v>85</v>
      </c>
      <c r="AT700" s="132" t="s">
        <v>74</v>
      </c>
      <c r="AU700" s="132" t="s">
        <v>83</v>
      </c>
      <c r="AY700" s="125" t="s">
        <v>144</v>
      </c>
      <c r="BK700" s="133">
        <f>SUM(BK701:BK709)</f>
        <v>0</v>
      </c>
    </row>
    <row r="701" spans="1:65" s="2" customFormat="1" ht="37.9" customHeight="1">
      <c r="A701" s="31"/>
      <c r="B701" s="136"/>
      <c r="C701" s="137" t="s">
        <v>857</v>
      </c>
      <c r="D701" s="137" t="s">
        <v>147</v>
      </c>
      <c r="E701" s="138" t="s">
        <v>858</v>
      </c>
      <c r="F701" s="139" t="s">
        <v>859</v>
      </c>
      <c r="G701" s="140" t="s">
        <v>156</v>
      </c>
      <c r="H701" s="141">
        <v>37</v>
      </c>
      <c r="I701" s="142"/>
      <c r="J701" s="142">
        <f>ROUND(I701*H701,2)</f>
        <v>0</v>
      </c>
      <c r="K701" s="139" t="s">
        <v>151</v>
      </c>
      <c r="L701" s="32"/>
      <c r="M701" s="143" t="s">
        <v>3</v>
      </c>
      <c r="N701" s="144" t="s">
        <v>46</v>
      </c>
      <c r="O701" s="145">
        <v>0</v>
      </c>
      <c r="P701" s="145">
        <f>O701*H701</f>
        <v>0</v>
      </c>
      <c r="Q701" s="145">
        <v>0</v>
      </c>
      <c r="R701" s="145">
        <f>Q701*H701</f>
        <v>0</v>
      </c>
      <c r="S701" s="145">
        <v>0</v>
      </c>
      <c r="T701" s="146">
        <f>S701*H701</f>
        <v>0</v>
      </c>
      <c r="U701" s="31"/>
      <c r="V701" s="31"/>
      <c r="W701" s="31"/>
      <c r="X701" s="31"/>
      <c r="Y701" s="31"/>
      <c r="Z701" s="31"/>
      <c r="AA701" s="31"/>
      <c r="AB701" s="31"/>
      <c r="AC701" s="31"/>
      <c r="AD701" s="31"/>
      <c r="AE701" s="31"/>
      <c r="AR701" s="147" t="s">
        <v>218</v>
      </c>
      <c r="AT701" s="147" t="s">
        <v>147</v>
      </c>
      <c r="AU701" s="147" t="s">
        <v>85</v>
      </c>
      <c r="AY701" s="19" t="s">
        <v>144</v>
      </c>
      <c r="BE701" s="148">
        <f>IF(N701="základní",J701,0)</f>
        <v>0</v>
      </c>
      <c r="BF701" s="148">
        <f>IF(N701="snížená",J701,0)</f>
        <v>0</v>
      </c>
      <c r="BG701" s="148">
        <f>IF(N701="zákl. přenesená",J701,0)</f>
        <v>0</v>
      </c>
      <c r="BH701" s="148">
        <f>IF(N701="sníž. přenesená",J701,0)</f>
        <v>0</v>
      </c>
      <c r="BI701" s="148">
        <f>IF(N701="nulová",J701,0)</f>
        <v>0</v>
      </c>
      <c r="BJ701" s="19" t="s">
        <v>83</v>
      </c>
      <c r="BK701" s="148">
        <f>ROUND(I701*H701,2)</f>
        <v>0</v>
      </c>
      <c r="BL701" s="19" t="s">
        <v>218</v>
      </c>
      <c r="BM701" s="147" t="s">
        <v>860</v>
      </c>
    </row>
    <row r="702" spans="2:51" s="13" customFormat="1" ht="12">
      <c r="B702" s="149"/>
      <c r="D702" s="150" t="s">
        <v>154</v>
      </c>
      <c r="E702" s="151" t="s">
        <v>3</v>
      </c>
      <c r="F702" s="152" t="s">
        <v>861</v>
      </c>
      <c r="H702" s="151" t="s">
        <v>3</v>
      </c>
      <c r="L702" s="149"/>
      <c r="M702" s="153"/>
      <c r="N702" s="154"/>
      <c r="O702" s="154"/>
      <c r="P702" s="154"/>
      <c r="Q702" s="154"/>
      <c r="R702" s="154"/>
      <c r="S702" s="154"/>
      <c r="T702" s="155"/>
      <c r="AT702" s="151" t="s">
        <v>154</v>
      </c>
      <c r="AU702" s="151" t="s">
        <v>85</v>
      </c>
      <c r="AV702" s="13" t="s">
        <v>83</v>
      </c>
      <c r="AW702" s="13" t="s">
        <v>37</v>
      </c>
      <c r="AX702" s="13" t="s">
        <v>75</v>
      </c>
      <c r="AY702" s="151" t="s">
        <v>144</v>
      </c>
    </row>
    <row r="703" spans="2:51" s="14" customFormat="1" ht="12">
      <c r="B703" s="156"/>
      <c r="D703" s="150" t="s">
        <v>154</v>
      </c>
      <c r="E703" s="157" t="s">
        <v>3</v>
      </c>
      <c r="F703" s="158" t="s">
        <v>862</v>
      </c>
      <c r="H703" s="159">
        <v>18</v>
      </c>
      <c r="L703" s="156"/>
      <c r="M703" s="160"/>
      <c r="N703" s="161"/>
      <c r="O703" s="161"/>
      <c r="P703" s="161"/>
      <c r="Q703" s="161"/>
      <c r="R703" s="161"/>
      <c r="S703" s="161"/>
      <c r="T703" s="162"/>
      <c r="AT703" s="157" t="s">
        <v>154</v>
      </c>
      <c r="AU703" s="157" t="s">
        <v>85</v>
      </c>
      <c r="AV703" s="14" t="s">
        <v>85</v>
      </c>
      <c r="AW703" s="14" t="s">
        <v>37</v>
      </c>
      <c r="AX703" s="14" t="s">
        <v>75</v>
      </c>
      <c r="AY703" s="157" t="s">
        <v>144</v>
      </c>
    </row>
    <row r="704" spans="2:51" s="14" customFormat="1" ht="12">
      <c r="B704" s="156"/>
      <c r="D704" s="150" t="s">
        <v>154</v>
      </c>
      <c r="E704" s="157" t="s">
        <v>3</v>
      </c>
      <c r="F704" s="158" t="s">
        <v>863</v>
      </c>
      <c r="H704" s="159">
        <v>19</v>
      </c>
      <c r="L704" s="156"/>
      <c r="M704" s="160"/>
      <c r="N704" s="161"/>
      <c r="O704" s="161"/>
      <c r="P704" s="161"/>
      <c r="Q704" s="161"/>
      <c r="R704" s="161"/>
      <c r="S704" s="161"/>
      <c r="T704" s="162"/>
      <c r="AT704" s="157" t="s">
        <v>154</v>
      </c>
      <c r="AU704" s="157" t="s">
        <v>85</v>
      </c>
      <c r="AV704" s="14" t="s">
        <v>85</v>
      </c>
      <c r="AW704" s="14" t="s">
        <v>37</v>
      </c>
      <c r="AX704" s="14" t="s">
        <v>75</v>
      </c>
      <c r="AY704" s="157" t="s">
        <v>144</v>
      </c>
    </row>
    <row r="705" spans="2:51" s="15" customFormat="1" ht="12">
      <c r="B705" s="166"/>
      <c r="D705" s="150" t="s">
        <v>154</v>
      </c>
      <c r="E705" s="167" t="s">
        <v>3</v>
      </c>
      <c r="F705" s="168" t="s">
        <v>161</v>
      </c>
      <c r="H705" s="169">
        <v>37</v>
      </c>
      <c r="L705" s="166"/>
      <c r="M705" s="170"/>
      <c r="N705" s="171"/>
      <c r="O705" s="171"/>
      <c r="P705" s="171"/>
      <c r="Q705" s="171"/>
      <c r="R705" s="171"/>
      <c r="S705" s="171"/>
      <c r="T705" s="172"/>
      <c r="AT705" s="167" t="s">
        <v>154</v>
      </c>
      <c r="AU705" s="167" t="s">
        <v>85</v>
      </c>
      <c r="AV705" s="15" t="s">
        <v>152</v>
      </c>
      <c r="AW705" s="15" t="s">
        <v>37</v>
      </c>
      <c r="AX705" s="15" t="s">
        <v>83</v>
      </c>
      <c r="AY705" s="167" t="s">
        <v>144</v>
      </c>
    </row>
    <row r="706" spans="1:65" s="2" customFormat="1" ht="37.9" customHeight="1">
      <c r="A706" s="31"/>
      <c r="B706" s="136"/>
      <c r="C706" s="137" t="s">
        <v>864</v>
      </c>
      <c r="D706" s="137" t="s">
        <v>147</v>
      </c>
      <c r="E706" s="138" t="s">
        <v>865</v>
      </c>
      <c r="F706" s="139" t="s">
        <v>866</v>
      </c>
      <c r="G706" s="140" t="s">
        <v>387</v>
      </c>
      <c r="H706" s="141">
        <v>991.193</v>
      </c>
      <c r="I706" s="142"/>
      <c r="J706" s="142">
        <f>ROUND(I706*H706,2)</f>
        <v>0</v>
      </c>
      <c r="K706" s="139" t="s">
        <v>157</v>
      </c>
      <c r="L706" s="32"/>
      <c r="M706" s="143" t="s">
        <v>3</v>
      </c>
      <c r="N706" s="144" t="s">
        <v>46</v>
      </c>
      <c r="O706" s="145">
        <v>0</v>
      </c>
      <c r="P706" s="145">
        <f>O706*H706</f>
        <v>0</v>
      </c>
      <c r="Q706" s="145">
        <v>0</v>
      </c>
      <c r="R706" s="145">
        <f>Q706*H706</f>
        <v>0</v>
      </c>
      <c r="S706" s="145">
        <v>0</v>
      </c>
      <c r="T706" s="146">
        <f>S706*H706</f>
        <v>0</v>
      </c>
      <c r="U706" s="31"/>
      <c r="V706" s="31"/>
      <c r="W706" s="31"/>
      <c r="X706" s="31"/>
      <c r="Y706" s="31"/>
      <c r="Z706" s="31"/>
      <c r="AA706" s="31"/>
      <c r="AB706" s="31"/>
      <c r="AC706" s="31"/>
      <c r="AD706" s="31"/>
      <c r="AE706" s="31"/>
      <c r="AR706" s="147" t="s">
        <v>218</v>
      </c>
      <c r="AT706" s="147" t="s">
        <v>147</v>
      </c>
      <c r="AU706" s="147" t="s">
        <v>85</v>
      </c>
      <c r="AY706" s="19" t="s">
        <v>144</v>
      </c>
      <c r="BE706" s="148">
        <f>IF(N706="základní",J706,0)</f>
        <v>0</v>
      </c>
      <c r="BF706" s="148">
        <f>IF(N706="snížená",J706,0)</f>
        <v>0</v>
      </c>
      <c r="BG706" s="148">
        <f>IF(N706="zákl. přenesená",J706,0)</f>
        <v>0</v>
      </c>
      <c r="BH706" s="148">
        <f>IF(N706="sníž. přenesená",J706,0)</f>
        <v>0</v>
      </c>
      <c r="BI706" s="148">
        <f>IF(N706="nulová",J706,0)</f>
        <v>0</v>
      </c>
      <c r="BJ706" s="19" t="s">
        <v>83</v>
      </c>
      <c r="BK706" s="148">
        <f>ROUND(I706*H706,2)</f>
        <v>0</v>
      </c>
      <c r="BL706" s="19" t="s">
        <v>218</v>
      </c>
      <c r="BM706" s="147" t="s">
        <v>867</v>
      </c>
    </row>
    <row r="707" spans="1:47" s="2" customFormat="1" ht="126.75">
      <c r="A707" s="31"/>
      <c r="B707" s="32"/>
      <c r="C707" s="31"/>
      <c r="D707" s="150" t="s">
        <v>158</v>
      </c>
      <c r="E707" s="31"/>
      <c r="F707" s="163" t="s">
        <v>552</v>
      </c>
      <c r="G707" s="31"/>
      <c r="H707" s="31"/>
      <c r="I707" s="31"/>
      <c r="J707" s="31"/>
      <c r="K707" s="31"/>
      <c r="L707" s="32"/>
      <c r="M707" s="164"/>
      <c r="N707" s="165"/>
      <c r="O707" s="52"/>
      <c r="P707" s="52"/>
      <c r="Q707" s="52"/>
      <c r="R707" s="52"/>
      <c r="S707" s="52"/>
      <c r="T707" s="53"/>
      <c r="U707" s="31"/>
      <c r="V707" s="31"/>
      <c r="W707" s="31"/>
      <c r="X707" s="31"/>
      <c r="Y707" s="31"/>
      <c r="Z707" s="31"/>
      <c r="AA707" s="31"/>
      <c r="AB707" s="31"/>
      <c r="AC707" s="31"/>
      <c r="AD707" s="31"/>
      <c r="AE707" s="31"/>
      <c r="AT707" s="19" t="s">
        <v>158</v>
      </c>
      <c r="AU707" s="19" t="s">
        <v>85</v>
      </c>
    </row>
    <row r="708" spans="1:65" s="2" customFormat="1" ht="49.15" customHeight="1">
      <c r="A708" s="31"/>
      <c r="B708" s="136"/>
      <c r="C708" s="137" t="s">
        <v>868</v>
      </c>
      <c r="D708" s="137" t="s">
        <v>147</v>
      </c>
      <c r="E708" s="138" t="s">
        <v>869</v>
      </c>
      <c r="F708" s="139" t="s">
        <v>870</v>
      </c>
      <c r="G708" s="140" t="s">
        <v>387</v>
      </c>
      <c r="H708" s="141">
        <v>991.193</v>
      </c>
      <c r="I708" s="142"/>
      <c r="J708" s="142">
        <f>ROUND(I708*H708,2)</f>
        <v>0</v>
      </c>
      <c r="K708" s="139" t="s">
        <v>157</v>
      </c>
      <c r="L708" s="32"/>
      <c r="M708" s="143" t="s">
        <v>3</v>
      </c>
      <c r="N708" s="144" t="s">
        <v>46</v>
      </c>
      <c r="O708" s="145">
        <v>0</v>
      </c>
      <c r="P708" s="145">
        <f>O708*H708</f>
        <v>0</v>
      </c>
      <c r="Q708" s="145">
        <v>0</v>
      </c>
      <c r="R708" s="145">
        <f>Q708*H708</f>
        <v>0</v>
      </c>
      <c r="S708" s="145">
        <v>0</v>
      </c>
      <c r="T708" s="146">
        <f>S708*H708</f>
        <v>0</v>
      </c>
      <c r="U708" s="31"/>
      <c r="V708" s="31"/>
      <c r="W708" s="31"/>
      <c r="X708" s="31"/>
      <c r="Y708" s="31"/>
      <c r="Z708" s="31"/>
      <c r="AA708" s="31"/>
      <c r="AB708" s="31"/>
      <c r="AC708" s="31"/>
      <c r="AD708" s="31"/>
      <c r="AE708" s="31"/>
      <c r="AR708" s="147" t="s">
        <v>218</v>
      </c>
      <c r="AT708" s="147" t="s">
        <v>147</v>
      </c>
      <c r="AU708" s="147" t="s">
        <v>85</v>
      </c>
      <c r="AY708" s="19" t="s">
        <v>144</v>
      </c>
      <c r="BE708" s="148">
        <f>IF(N708="základní",J708,0)</f>
        <v>0</v>
      </c>
      <c r="BF708" s="148">
        <f>IF(N708="snížená",J708,0)</f>
        <v>0</v>
      </c>
      <c r="BG708" s="148">
        <f>IF(N708="zákl. přenesená",J708,0)</f>
        <v>0</v>
      </c>
      <c r="BH708" s="148">
        <f>IF(N708="sníž. přenesená",J708,0)</f>
        <v>0</v>
      </c>
      <c r="BI708" s="148">
        <f>IF(N708="nulová",J708,0)</f>
        <v>0</v>
      </c>
      <c r="BJ708" s="19" t="s">
        <v>83</v>
      </c>
      <c r="BK708" s="148">
        <f>ROUND(I708*H708,2)</f>
        <v>0</v>
      </c>
      <c r="BL708" s="19" t="s">
        <v>218</v>
      </c>
      <c r="BM708" s="147" t="s">
        <v>871</v>
      </c>
    </row>
    <row r="709" spans="1:47" s="2" customFormat="1" ht="126.75">
      <c r="A709" s="31"/>
      <c r="B709" s="32"/>
      <c r="C709" s="31"/>
      <c r="D709" s="150" t="s">
        <v>158</v>
      </c>
      <c r="E709" s="31"/>
      <c r="F709" s="163" t="s">
        <v>552</v>
      </c>
      <c r="G709" s="31"/>
      <c r="H709" s="31"/>
      <c r="I709" s="31"/>
      <c r="J709" s="31"/>
      <c r="K709" s="31"/>
      <c r="L709" s="32"/>
      <c r="M709" s="189"/>
      <c r="N709" s="190"/>
      <c r="O709" s="191"/>
      <c r="P709" s="191"/>
      <c r="Q709" s="191"/>
      <c r="R709" s="191"/>
      <c r="S709" s="191"/>
      <c r="T709" s="192"/>
      <c r="U709" s="31"/>
      <c r="V709" s="31"/>
      <c r="W709" s="31"/>
      <c r="X709" s="31"/>
      <c r="Y709" s="31"/>
      <c r="Z709" s="31"/>
      <c r="AA709" s="31"/>
      <c r="AB709" s="31"/>
      <c r="AC709" s="31"/>
      <c r="AD709" s="31"/>
      <c r="AE709" s="31"/>
      <c r="AT709" s="19" t="s">
        <v>158</v>
      </c>
      <c r="AU709" s="19" t="s">
        <v>85</v>
      </c>
    </row>
    <row r="710" spans="1:31" s="2" customFormat="1" ht="6.95" customHeight="1">
      <c r="A710" s="31"/>
      <c r="B710" s="41"/>
      <c r="C710" s="42"/>
      <c r="D710" s="42"/>
      <c r="E710" s="42"/>
      <c r="F710" s="42"/>
      <c r="G710" s="42"/>
      <c r="H710" s="42"/>
      <c r="I710" s="42"/>
      <c r="J710" s="42"/>
      <c r="K710" s="42"/>
      <c r="L710" s="32"/>
      <c r="M710" s="31"/>
      <c r="O710" s="31"/>
      <c r="P710" s="31"/>
      <c r="Q710" s="31"/>
      <c r="R710" s="31"/>
      <c r="S710" s="31"/>
      <c r="T710" s="31"/>
      <c r="U710" s="31"/>
      <c r="V710" s="31"/>
      <c r="W710" s="31"/>
      <c r="X710" s="31"/>
      <c r="Y710" s="31"/>
      <c r="Z710" s="31"/>
      <c r="AA710" s="31"/>
      <c r="AB710" s="31"/>
      <c r="AC710" s="31"/>
      <c r="AD710" s="31"/>
      <c r="AE710" s="31"/>
    </row>
  </sheetData>
  <autoFilter ref="C96:K709"/>
  <mergeCells count="9">
    <mergeCell ref="E50:H50"/>
    <mergeCell ref="E87:H87"/>
    <mergeCell ref="E89:H89"/>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2" manualBreakCount="12">
    <brk id="133" min="2" max="16383" man="1"/>
    <brk id="183" min="2" max="16383" man="1"/>
    <brk id="271" min="2" max="16383" man="1"/>
    <brk id="330" min="2" max="16383" man="1"/>
    <brk id="408" min="2" max="16383" man="1"/>
    <brk id="462" min="2" max="16383" man="1"/>
    <brk id="506" min="2" max="16383" man="1"/>
    <brk id="548" min="2" max="16383" man="1"/>
    <brk id="571" min="2" max="16383" man="1"/>
    <brk id="612" min="2" max="16383" man="1"/>
    <brk id="653" min="2" max="16383" man="1"/>
    <brk id="705"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356"/>
  <sheetViews>
    <sheetView showGridLines="0" view="pageBreakPreview" zoomScale="80" zoomScaleSheetLayoutView="80" workbookViewId="0" topLeftCell="A75">
      <selection activeCell="I97" sqref="I97:I35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01" t="s">
        <v>6</v>
      </c>
      <c r="M2" s="302"/>
      <c r="N2" s="302"/>
      <c r="O2" s="302"/>
      <c r="P2" s="302"/>
      <c r="Q2" s="302"/>
      <c r="R2" s="302"/>
      <c r="S2" s="302"/>
      <c r="T2" s="302"/>
      <c r="U2" s="302"/>
      <c r="V2" s="302"/>
      <c r="AT2" s="19" t="s">
        <v>88</v>
      </c>
    </row>
    <row r="3" spans="2:46" s="1" customFormat="1" ht="6.95" customHeight="1">
      <c r="B3" s="20"/>
      <c r="C3" s="21"/>
      <c r="D3" s="21"/>
      <c r="E3" s="21"/>
      <c r="F3" s="21"/>
      <c r="G3" s="21"/>
      <c r="H3" s="21"/>
      <c r="I3" s="21"/>
      <c r="J3" s="21"/>
      <c r="K3" s="21"/>
      <c r="L3" s="22"/>
      <c r="AT3" s="19" t="s">
        <v>85</v>
      </c>
    </row>
    <row r="4" spans="2:46" s="1" customFormat="1" ht="24.95" customHeight="1">
      <c r="B4" s="22"/>
      <c r="D4" s="23" t="s">
        <v>104</v>
      </c>
      <c r="L4" s="22"/>
      <c r="M4" s="88" t="s">
        <v>11</v>
      </c>
      <c r="AT4" s="19" t="s">
        <v>4</v>
      </c>
    </row>
    <row r="5" spans="2:12" s="1" customFormat="1" ht="6.95" customHeight="1">
      <c r="B5" s="22"/>
      <c r="L5" s="22"/>
    </row>
    <row r="6" spans="2:12" s="1" customFormat="1" ht="12" customHeight="1">
      <c r="B6" s="22"/>
      <c r="D6" s="28" t="s">
        <v>15</v>
      </c>
      <c r="L6" s="22"/>
    </row>
    <row r="7" spans="2:12" s="1" customFormat="1" ht="23.25" customHeight="1">
      <c r="B7" s="22"/>
      <c r="E7" s="335" t="str">
        <f>'Rekapitulace stavby'!K6</f>
        <v>Rekonstrukce lékařských pokojů, skladových a technických prostor Nemocnice Nymburk s.r.o.</v>
      </c>
      <c r="F7" s="336"/>
      <c r="G7" s="336"/>
      <c r="H7" s="336"/>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5" t="s">
        <v>872</v>
      </c>
      <c r="F9" s="334"/>
      <c r="G9" s="334"/>
      <c r="H9" s="334"/>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10" t="str">
        <f>'Rekapitulace stavby'!E14</f>
        <v xml:space="preserve"> </v>
      </c>
      <c r="F18" s="310"/>
      <c r="G18" s="310"/>
      <c r="H18" s="310"/>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12" t="s">
        <v>40</v>
      </c>
      <c r="F27" s="312"/>
      <c r="G27" s="312"/>
      <c r="H27" s="312"/>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ROUND(J94,2)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45</v>
      </c>
      <c r="E33" s="28" t="s">
        <v>46</v>
      </c>
      <c r="F33" s="95">
        <f>ROUND((SUM(BE94:BE355)),2)</f>
        <v>0</v>
      </c>
      <c r="G33" s="31"/>
      <c r="H33" s="31"/>
      <c r="I33" s="96">
        <v>0.21</v>
      </c>
      <c r="J33" s="95">
        <f>ROUND(((SUM(BE94:BE355))*I33),2)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47</v>
      </c>
      <c r="F34" s="95">
        <f>ROUND((SUM(BF94:BF355)),2)</f>
        <v>0</v>
      </c>
      <c r="G34" s="31"/>
      <c r="H34" s="31"/>
      <c r="I34" s="96">
        <v>0.15</v>
      </c>
      <c r="J34" s="95">
        <f>ROUND(((SUM(BF94:BF355))*I34),2)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48</v>
      </c>
      <c r="F35" s="95">
        <f>ROUND((SUM(BG94:BG355)),2)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49</v>
      </c>
      <c r="F36" s="95">
        <f>ROUND((SUM(BH94:BH355)),2)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50</v>
      </c>
      <c r="F37" s="95">
        <f>ROUND((SUM(BI94:BI355)),2)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35" t="str">
        <f>E7</f>
        <v>Rekonstrukce lékařských pokojů, skladových a technických prostor Nemocnice Nymburk s.r.o.</v>
      </c>
      <c r="F48" s="336"/>
      <c r="G48" s="336"/>
      <c r="H48" s="336"/>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5" t="str">
        <f>E9</f>
        <v>02 - Zdravotechnika</v>
      </c>
      <c r="F50" s="334"/>
      <c r="G50" s="334"/>
      <c r="H50" s="334"/>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73</v>
      </c>
      <c r="D59" s="31"/>
      <c r="E59" s="31"/>
      <c r="F59" s="31"/>
      <c r="G59" s="31"/>
      <c r="H59" s="31"/>
      <c r="I59" s="31"/>
      <c r="J59" s="65">
        <f>J94</f>
        <v>0</v>
      </c>
      <c r="K59" s="31"/>
      <c r="L59" s="89"/>
      <c r="S59" s="31"/>
      <c r="T59" s="31"/>
      <c r="U59" s="31"/>
      <c r="V59" s="31"/>
      <c r="W59" s="31"/>
      <c r="X59" s="31"/>
      <c r="Y59" s="31"/>
      <c r="Z59" s="31"/>
      <c r="AA59" s="31"/>
      <c r="AB59" s="31"/>
      <c r="AC59" s="31"/>
      <c r="AD59" s="31"/>
      <c r="AE59" s="31"/>
      <c r="AU59" s="19" t="s">
        <v>110</v>
      </c>
    </row>
    <row r="60" spans="2:12" s="9" customFormat="1" ht="24.95" customHeight="1">
      <c r="B60" s="106"/>
      <c r="D60" s="107" t="s">
        <v>111</v>
      </c>
      <c r="E60" s="108"/>
      <c r="F60" s="108"/>
      <c r="G60" s="108"/>
      <c r="H60" s="108"/>
      <c r="I60" s="108"/>
      <c r="J60" s="109">
        <f>J95</f>
        <v>0</v>
      </c>
      <c r="L60" s="106"/>
    </row>
    <row r="61" spans="2:12" s="10" customFormat="1" ht="19.9" customHeight="1">
      <c r="B61" s="110"/>
      <c r="D61" s="111" t="s">
        <v>112</v>
      </c>
      <c r="E61" s="112"/>
      <c r="F61" s="112"/>
      <c r="G61" s="112"/>
      <c r="H61" s="112"/>
      <c r="I61" s="112"/>
      <c r="J61" s="113">
        <f>J96</f>
        <v>0</v>
      </c>
      <c r="L61" s="110"/>
    </row>
    <row r="62" spans="2:12" s="10" customFormat="1" ht="19.9" customHeight="1">
      <c r="B62" s="110"/>
      <c r="D62" s="111" t="s">
        <v>873</v>
      </c>
      <c r="E62" s="112"/>
      <c r="F62" s="112"/>
      <c r="G62" s="112"/>
      <c r="H62" s="112"/>
      <c r="I62" s="112"/>
      <c r="J62" s="113">
        <f>J113</f>
        <v>0</v>
      </c>
      <c r="L62" s="110"/>
    </row>
    <row r="63" spans="2:12" s="10" customFormat="1" ht="19.9" customHeight="1">
      <c r="B63" s="110"/>
      <c r="D63" s="111" t="s">
        <v>113</v>
      </c>
      <c r="E63" s="112"/>
      <c r="F63" s="112"/>
      <c r="G63" s="112"/>
      <c r="H63" s="112"/>
      <c r="I63" s="112"/>
      <c r="J63" s="113">
        <f>J117</f>
        <v>0</v>
      </c>
      <c r="L63" s="110"/>
    </row>
    <row r="64" spans="2:12" s="10" customFormat="1" ht="19.9" customHeight="1">
      <c r="B64" s="110"/>
      <c r="D64" s="111" t="s">
        <v>114</v>
      </c>
      <c r="E64" s="112"/>
      <c r="F64" s="112"/>
      <c r="G64" s="112"/>
      <c r="H64" s="112"/>
      <c r="I64" s="112"/>
      <c r="J64" s="113">
        <f>J132</f>
        <v>0</v>
      </c>
      <c r="L64" s="110"/>
    </row>
    <row r="65" spans="2:12" s="10" customFormat="1" ht="19.9" customHeight="1">
      <c r="B65" s="110"/>
      <c r="D65" s="111" t="s">
        <v>115</v>
      </c>
      <c r="E65" s="112"/>
      <c r="F65" s="112"/>
      <c r="G65" s="112"/>
      <c r="H65" s="112"/>
      <c r="I65" s="112"/>
      <c r="J65" s="113">
        <f>J164</f>
        <v>0</v>
      </c>
      <c r="L65" s="110"/>
    </row>
    <row r="66" spans="2:12" s="10" customFormat="1" ht="19.9" customHeight="1">
      <c r="B66" s="110"/>
      <c r="D66" s="111" t="s">
        <v>116</v>
      </c>
      <c r="E66" s="112"/>
      <c r="F66" s="112"/>
      <c r="G66" s="112"/>
      <c r="H66" s="112"/>
      <c r="I66" s="112"/>
      <c r="J66" s="113">
        <f>J178</f>
        <v>0</v>
      </c>
      <c r="L66" s="110"/>
    </row>
    <row r="67" spans="2:12" s="9" customFormat="1" ht="24.95" customHeight="1">
      <c r="B67" s="106"/>
      <c r="D67" s="107" t="s">
        <v>117</v>
      </c>
      <c r="E67" s="108"/>
      <c r="F67" s="108"/>
      <c r="G67" s="108"/>
      <c r="H67" s="108"/>
      <c r="I67" s="108"/>
      <c r="J67" s="109">
        <f>J181</f>
        <v>0</v>
      </c>
      <c r="L67" s="106"/>
    </row>
    <row r="68" spans="2:12" s="10" customFormat="1" ht="19.9" customHeight="1">
      <c r="B68" s="110"/>
      <c r="D68" s="111" t="s">
        <v>874</v>
      </c>
      <c r="E68" s="112"/>
      <c r="F68" s="112"/>
      <c r="G68" s="112"/>
      <c r="H68" s="112"/>
      <c r="I68" s="112"/>
      <c r="J68" s="113">
        <f>J182</f>
        <v>0</v>
      </c>
      <c r="L68" s="110"/>
    </row>
    <row r="69" spans="2:12" s="10" customFormat="1" ht="19.9" customHeight="1">
      <c r="B69" s="110"/>
      <c r="D69" s="111" t="s">
        <v>875</v>
      </c>
      <c r="E69" s="112"/>
      <c r="F69" s="112"/>
      <c r="G69" s="112"/>
      <c r="H69" s="112"/>
      <c r="I69" s="112"/>
      <c r="J69" s="113">
        <f>J221</f>
        <v>0</v>
      </c>
      <c r="L69" s="110"/>
    </row>
    <row r="70" spans="2:12" s="10" customFormat="1" ht="19.9" customHeight="1">
      <c r="B70" s="110"/>
      <c r="D70" s="111" t="s">
        <v>876</v>
      </c>
      <c r="E70" s="112"/>
      <c r="F70" s="112"/>
      <c r="G70" s="112"/>
      <c r="H70" s="112"/>
      <c r="I70" s="112"/>
      <c r="J70" s="113">
        <f>J254</f>
        <v>0</v>
      </c>
      <c r="L70" s="110"/>
    </row>
    <row r="71" spans="2:12" s="10" customFormat="1" ht="19.9" customHeight="1">
      <c r="B71" s="110"/>
      <c r="D71" s="111" t="s">
        <v>877</v>
      </c>
      <c r="E71" s="112"/>
      <c r="F71" s="112"/>
      <c r="G71" s="112"/>
      <c r="H71" s="112"/>
      <c r="I71" s="112"/>
      <c r="J71" s="113">
        <f>J336</f>
        <v>0</v>
      </c>
      <c r="L71" s="110"/>
    </row>
    <row r="72" spans="2:12" s="9" customFormat="1" ht="24.95" customHeight="1">
      <c r="B72" s="106"/>
      <c r="D72" s="107" t="s">
        <v>878</v>
      </c>
      <c r="E72" s="108"/>
      <c r="F72" s="108"/>
      <c r="G72" s="108"/>
      <c r="H72" s="108"/>
      <c r="I72" s="108"/>
      <c r="J72" s="109">
        <f>J349</f>
        <v>0</v>
      </c>
      <c r="L72" s="106"/>
    </row>
    <row r="73" spans="2:12" s="9" customFormat="1" ht="24.95" customHeight="1">
      <c r="B73" s="106"/>
      <c r="D73" s="107" t="s">
        <v>879</v>
      </c>
      <c r="E73" s="108"/>
      <c r="F73" s="108"/>
      <c r="G73" s="108"/>
      <c r="H73" s="108"/>
      <c r="I73" s="108"/>
      <c r="J73" s="109">
        <f>J352</f>
        <v>0</v>
      </c>
      <c r="L73" s="106"/>
    </row>
    <row r="74" spans="2:12" s="10" customFormat="1" ht="19.9" customHeight="1">
      <c r="B74" s="110"/>
      <c r="D74" s="111" t="s">
        <v>880</v>
      </c>
      <c r="E74" s="112"/>
      <c r="F74" s="112"/>
      <c r="G74" s="112"/>
      <c r="H74" s="112"/>
      <c r="I74" s="112"/>
      <c r="J74" s="113">
        <f>J353</f>
        <v>0</v>
      </c>
      <c r="L74" s="110"/>
    </row>
    <row r="75" spans="1:31" s="2" customFormat="1" ht="21.7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5" customHeight="1">
      <c r="A76" s="31"/>
      <c r="B76" s="41"/>
      <c r="C76" s="42"/>
      <c r="D76" s="42"/>
      <c r="E76" s="42"/>
      <c r="F76" s="42"/>
      <c r="G76" s="42"/>
      <c r="H76" s="42"/>
      <c r="I76" s="42"/>
      <c r="J76" s="42"/>
      <c r="K76" s="42"/>
      <c r="L76" s="89"/>
      <c r="S76" s="31"/>
      <c r="T76" s="31"/>
      <c r="U76" s="31"/>
      <c r="V76" s="31"/>
      <c r="W76" s="31"/>
      <c r="X76" s="31"/>
      <c r="Y76" s="31"/>
      <c r="Z76" s="31"/>
      <c r="AA76" s="31"/>
      <c r="AB76" s="31"/>
      <c r="AC76" s="31"/>
      <c r="AD76" s="31"/>
      <c r="AE76" s="31"/>
    </row>
    <row r="80" spans="1:31" s="2" customFormat="1" ht="6.95" customHeight="1">
      <c r="A80" s="31"/>
      <c r="B80" s="43"/>
      <c r="C80" s="44"/>
      <c r="D80" s="44"/>
      <c r="E80" s="44"/>
      <c r="F80" s="44"/>
      <c r="G80" s="44"/>
      <c r="H80" s="44"/>
      <c r="I80" s="44"/>
      <c r="J80" s="44"/>
      <c r="K80" s="44"/>
      <c r="L80" s="89"/>
      <c r="S80" s="31"/>
      <c r="T80" s="31"/>
      <c r="U80" s="31"/>
      <c r="V80" s="31"/>
      <c r="W80" s="31"/>
      <c r="X80" s="31"/>
      <c r="Y80" s="31"/>
      <c r="Z80" s="31"/>
      <c r="AA80" s="31"/>
      <c r="AB80" s="31"/>
      <c r="AC80" s="31"/>
      <c r="AD80" s="31"/>
      <c r="AE80" s="31"/>
    </row>
    <row r="81" spans="1:31" s="2" customFormat="1" ht="24.95" customHeight="1">
      <c r="A81" s="31"/>
      <c r="B81" s="32"/>
      <c r="C81" s="23" t="s">
        <v>129</v>
      </c>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15</v>
      </c>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3.25" customHeight="1">
      <c r="A84" s="31"/>
      <c r="B84" s="32"/>
      <c r="C84" s="31"/>
      <c r="D84" s="31"/>
      <c r="E84" s="335" t="str">
        <f>E7</f>
        <v>Rekonstrukce lékařských pokojů, skladových a technických prostor Nemocnice Nymburk s.r.o.</v>
      </c>
      <c r="F84" s="336"/>
      <c r="G84" s="336"/>
      <c r="H84" s="336"/>
      <c r="I84" s="31"/>
      <c r="J84" s="31"/>
      <c r="K84" s="31"/>
      <c r="L84" s="89"/>
      <c r="S84" s="31"/>
      <c r="T84" s="31"/>
      <c r="U84" s="31"/>
      <c r="V84" s="31"/>
      <c r="W84" s="31"/>
      <c r="X84" s="31"/>
      <c r="Y84" s="31"/>
      <c r="Z84" s="31"/>
      <c r="AA84" s="31"/>
      <c r="AB84" s="31"/>
      <c r="AC84" s="31"/>
      <c r="AD84" s="31"/>
      <c r="AE84" s="31"/>
    </row>
    <row r="85" spans="1:31" s="2" customFormat="1" ht="12" customHeight="1">
      <c r="A85" s="31"/>
      <c r="B85" s="32"/>
      <c r="C85" s="28" t="s">
        <v>105</v>
      </c>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16.5" customHeight="1">
      <c r="A86" s="31"/>
      <c r="B86" s="32"/>
      <c r="C86" s="31"/>
      <c r="D86" s="31"/>
      <c r="E86" s="325" t="str">
        <f>E9</f>
        <v>02 - Zdravotechnika</v>
      </c>
      <c r="F86" s="334"/>
      <c r="G86" s="334"/>
      <c r="H86" s="334"/>
      <c r="I86" s="31"/>
      <c r="J86" s="31"/>
      <c r="K86" s="31"/>
      <c r="L86" s="89"/>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2" customFormat="1" ht="12" customHeight="1">
      <c r="A88" s="31"/>
      <c r="B88" s="32"/>
      <c r="C88" s="28" t="s">
        <v>21</v>
      </c>
      <c r="D88" s="31"/>
      <c r="E88" s="31"/>
      <c r="F88" s="26" t="str">
        <f>F12</f>
        <v>Nymburk</v>
      </c>
      <c r="G88" s="31"/>
      <c r="H88" s="31"/>
      <c r="I88" s="28" t="s">
        <v>23</v>
      </c>
      <c r="J88" s="49" t="str">
        <f>IF(J12="","",J12)</f>
        <v>1. 9. 2020</v>
      </c>
      <c r="K88" s="31"/>
      <c r="L88" s="89"/>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89"/>
      <c r="S89" s="31"/>
      <c r="T89" s="31"/>
      <c r="U89" s="31"/>
      <c r="V89" s="31"/>
      <c r="W89" s="31"/>
      <c r="X89" s="31"/>
      <c r="Y89" s="31"/>
      <c r="Z89" s="31"/>
      <c r="AA89" s="31"/>
      <c r="AB89" s="31"/>
      <c r="AC89" s="31"/>
      <c r="AD89" s="31"/>
      <c r="AE89" s="31"/>
    </row>
    <row r="90" spans="1:31" s="2" customFormat="1" ht="25.7" customHeight="1">
      <c r="A90" s="31"/>
      <c r="B90" s="32"/>
      <c r="C90" s="28" t="s">
        <v>25</v>
      </c>
      <c r="D90" s="31"/>
      <c r="E90" s="31"/>
      <c r="F90" s="26" t="str">
        <f>E15</f>
        <v>Nemocnice Nymburk s.r.o.</v>
      </c>
      <c r="G90" s="31"/>
      <c r="H90" s="31"/>
      <c r="I90" s="28" t="s">
        <v>33</v>
      </c>
      <c r="J90" s="29" t="str">
        <f>E21</f>
        <v>Ing. arch. Pavel Petrák</v>
      </c>
      <c r="K90" s="31"/>
      <c r="L90" s="89"/>
      <c r="S90" s="31"/>
      <c r="T90" s="31"/>
      <c r="U90" s="31"/>
      <c r="V90" s="31"/>
      <c r="W90" s="31"/>
      <c r="X90" s="31"/>
      <c r="Y90" s="31"/>
      <c r="Z90" s="31"/>
      <c r="AA90" s="31"/>
      <c r="AB90" s="31"/>
      <c r="AC90" s="31"/>
      <c r="AD90" s="31"/>
      <c r="AE90" s="31"/>
    </row>
    <row r="91" spans="1:31" s="2" customFormat="1" ht="15.2" customHeight="1">
      <c r="A91" s="31"/>
      <c r="B91" s="32"/>
      <c r="C91" s="28" t="s">
        <v>31</v>
      </c>
      <c r="D91" s="31"/>
      <c r="E91" s="31"/>
      <c r="F91" s="26" t="str">
        <f>IF(E18="","",E18)</f>
        <v xml:space="preserve"> </v>
      </c>
      <c r="G91" s="31"/>
      <c r="H91" s="31"/>
      <c r="I91" s="28" t="s">
        <v>38</v>
      </c>
      <c r="J91" s="29" t="str">
        <f>E24</f>
        <v xml:space="preserve"> </v>
      </c>
      <c r="K91" s="31"/>
      <c r="L91" s="89"/>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89"/>
      <c r="S92" s="31"/>
      <c r="T92" s="31"/>
      <c r="U92" s="31"/>
      <c r="V92" s="31"/>
      <c r="W92" s="31"/>
      <c r="X92" s="31"/>
      <c r="Y92" s="31"/>
      <c r="Z92" s="31"/>
      <c r="AA92" s="31"/>
      <c r="AB92" s="31"/>
      <c r="AC92" s="31"/>
      <c r="AD92" s="31"/>
      <c r="AE92" s="31"/>
    </row>
    <row r="93" spans="1:31" s="11" customFormat="1" ht="29.25" customHeight="1">
      <c r="A93" s="114"/>
      <c r="B93" s="115"/>
      <c r="C93" s="116" t="s">
        <v>130</v>
      </c>
      <c r="D93" s="117" t="s">
        <v>60</v>
      </c>
      <c r="E93" s="117" t="s">
        <v>56</v>
      </c>
      <c r="F93" s="117" t="s">
        <v>57</v>
      </c>
      <c r="G93" s="117" t="s">
        <v>131</v>
      </c>
      <c r="H93" s="117" t="s">
        <v>132</v>
      </c>
      <c r="I93" s="117" t="s">
        <v>133</v>
      </c>
      <c r="J93" s="117" t="s">
        <v>109</v>
      </c>
      <c r="K93" s="118" t="s">
        <v>134</v>
      </c>
      <c r="L93" s="119"/>
      <c r="M93" s="56" t="s">
        <v>3</v>
      </c>
      <c r="N93" s="57" t="s">
        <v>45</v>
      </c>
      <c r="O93" s="57" t="s">
        <v>135</v>
      </c>
      <c r="P93" s="57" t="s">
        <v>136</v>
      </c>
      <c r="Q93" s="57" t="s">
        <v>137</v>
      </c>
      <c r="R93" s="57" t="s">
        <v>138</v>
      </c>
      <c r="S93" s="57" t="s">
        <v>139</v>
      </c>
      <c r="T93" s="58" t="s">
        <v>140</v>
      </c>
      <c r="U93" s="114"/>
      <c r="V93" s="114"/>
      <c r="W93" s="114"/>
      <c r="X93" s="114"/>
      <c r="Y93" s="114"/>
      <c r="Z93" s="114"/>
      <c r="AA93" s="114"/>
      <c r="AB93" s="114"/>
      <c r="AC93" s="114"/>
      <c r="AD93" s="114"/>
      <c r="AE93" s="114"/>
    </row>
    <row r="94" spans="1:63" s="2" customFormat="1" ht="22.9" customHeight="1">
      <c r="A94" s="31"/>
      <c r="B94" s="32"/>
      <c r="C94" s="63" t="s">
        <v>141</v>
      </c>
      <c r="D94" s="31"/>
      <c r="E94" s="31"/>
      <c r="F94" s="31"/>
      <c r="G94" s="31"/>
      <c r="H94" s="31"/>
      <c r="I94" s="31"/>
      <c r="J94" s="120">
        <f>BK94</f>
        <v>0</v>
      </c>
      <c r="K94" s="31"/>
      <c r="L94" s="32"/>
      <c r="M94" s="59"/>
      <c r="N94" s="50"/>
      <c r="O94" s="60"/>
      <c r="P94" s="121">
        <f>P95+P181+P349+P352</f>
        <v>230.87703800000003</v>
      </c>
      <c r="Q94" s="60"/>
      <c r="R94" s="121">
        <f>R95+R181+R349+R352</f>
        <v>3.1819993749999997</v>
      </c>
      <c r="S94" s="60"/>
      <c r="T94" s="122">
        <f>T95+T181+T349+T352</f>
        <v>2.6017075000000003</v>
      </c>
      <c r="U94" s="31"/>
      <c r="V94" s="31"/>
      <c r="W94" s="31"/>
      <c r="X94" s="31"/>
      <c r="Y94" s="31"/>
      <c r="Z94" s="31"/>
      <c r="AA94" s="31"/>
      <c r="AB94" s="31"/>
      <c r="AC94" s="31"/>
      <c r="AD94" s="31"/>
      <c r="AE94" s="31"/>
      <c r="AT94" s="19" t="s">
        <v>74</v>
      </c>
      <c r="AU94" s="19" t="s">
        <v>110</v>
      </c>
      <c r="BK94" s="123">
        <f>BK95+BK181+BK349+BK352</f>
        <v>0</v>
      </c>
    </row>
    <row r="95" spans="2:63" s="12" customFormat="1" ht="25.9" customHeight="1">
      <c r="B95" s="124"/>
      <c r="D95" s="125" t="s">
        <v>74</v>
      </c>
      <c r="E95" s="126" t="s">
        <v>142</v>
      </c>
      <c r="F95" s="126" t="s">
        <v>143</v>
      </c>
      <c r="J95" s="127">
        <f>BK95</f>
        <v>0</v>
      </c>
      <c r="L95" s="124"/>
      <c r="M95" s="128"/>
      <c r="N95" s="129"/>
      <c r="O95" s="129"/>
      <c r="P95" s="130">
        <f>P96+P113+P117+P132+P164+P178</f>
        <v>91.79876900000001</v>
      </c>
      <c r="Q95" s="129"/>
      <c r="R95" s="130">
        <f>R96+R113+R117+R132+R164+R178</f>
        <v>2.9001141749999997</v>
      </c>
      <c r="S95" s="129"/>
      <c r="T95" s="131">
        <f>T96+T113+T117+T132+T164+T178</f>
        <v>2.3793075000000004</v>
      </c>
      <c r="AR95" s="125" t="s">
        <v>83</v>
      </c>
      <c r="AT95" s="132" t="s">
        <v>74</v>
      </c>
      <c r="AU95" s="132" t="s">
        <v>75</v>
      </c>
      <c r="AY95" s="125" t="s">
        <v>144</v>
      </c>
      <c r="BK95" s="133">
        <f>BK96+BK113+BK117+BK132+BK164+BK178</f>
        <v>0</v>
      </c>
    </row>
    <row r="96" spans="2:63" s="12" customFormat="1" ht="22.9" customHeight="1">
      <c r="B96" s="124"/>
      <c r="D96" s="125" t="s">
        <v>74</v>
      </c>
      <c r="E96" s="134" t="s">
        <v>145</v>
      </c>
      <c r="F96" s="134" t="s">
        <v>146</v>
      </c>
      <c r="J96" s="135">
        <f>BK96</f>
        <v>0</v>
      </c>
      <c r="L96" s="124"/>
      <c r="M96" s="128"/>
      <c r="N96" s="129"/>
      <c r="O96" s="129"/>
      <c r="P96" s="130">
        <f>SUM(P97:P112)</f>
        <v>14.024000000000001</v>
      </c>
      <c r="Q96" s="129"/>
      <c r="R96" s="130">
        <f>SUM(R97:R112)</f>
        <v>0.66039</v>
      </c>
      <c r="S96" s="129"/>
      <c r="T96" s="131">
        <f>SUM(T97:T112)</f>
        <v>0</v>
      </c>
      <c r="AR96" s="125" t="s">
        <v>83</v>
      </c>
      <c r="AT96" s="132" t="s">
        <v>74</v>
      </c>
      <c r="AU96" s="132" t="s">
        <v>83</v>
      </c>
      <c r="AY96" s="125" t="s">
        <v>144</v>
      </c>
      <c r="BK96" s="133">
        <f>SUM(BK97:BK112)</f>
        <v>0</v>
      </c>
    </row>
    <row r="97" spans="1:65" s="2" customFormat="1" ht="24.2" customHeight="1">
      <c r="A97" s="31"/>
      <c r="B97" s="136"/>
      <c r="C97" s="137" t="s">
        <v>83</v>
      </c>
      <c r="D97" s="137" t="s">
        <v>147</v>
      </c>
      <c r="E97" s="138" t="s">
        <v>881</v>
      </c>
      <c r="F97" s="139" t="s">
        <v>882</v>
      </c>
      <c r="G97" s="140" t="s">
        <v>156</v>
      </c>
      <c r="H97" s="141">
        <v>18</v>
      </c>
      <c r="I97" s="142"/>
      <c r="J97" s="142">
        <f>ROUND(I97*H97,2)</f>
        <v>0</v>
      </c>
      <c r="K97" s="139" t="s">
        <v>157</v>
      </c>
      <c r="L97" s="32"/>
      <c r="M97" s="143" t="s">
        <v>3</v>
      </c>
      <c r="N97" s="144" t="s">
        <v>46</v>
      </c>
      <c r="O97" s="145">
        <v>0.195</v>
      </c>
      <c r="P97" s="145">
        <f>O97*H97</f>
        <v>3.5100000000000002</v>
      </c>
      <c r="Q97" s="145">
        <v>0.01262</v>
      </c>
      <c r="R97" s="145">
        <f>Q97*H97</f>
        <v>0.22715999999999997</v>
      </c>
      <c r="S97" s="145">
        <v>0</v>
      </c>
      <c r="T97" s="146">
        <f>S97*H97</f>
        <v>0</v>
      </c>
      <c r="U97" s="31"/>
      <c r="V97" s="31"/>
      <c r="W97" s="31"/>
      <c r="X97" s="31"/>
      <c r="Y97" s="31"/>
      <c r="Z97" s="31"/>
      <c r="AA97" s="31"/>
      <c r="AB97" s="31"/>
      <c r="AC97" s="31"/>
      <c r="AD97" s="31"/>
      <c r="AE97" s="31"/>
      <c r="AR97" s="147" t="s">
        <v>152</v>
      </c>
      <c r="AT97" s="147" t="s">
        <v>147</v>
      </c>
      <c r="AU97" s="147" t="s">
        <v>85</v>
      </c>
      <c r="AY97" s="19" t="s">
        <v>144</v>
      </c>
      <c r="BE97" s="148">
        <f>IF(N97="základní",J97,0)</f>
        <v>0</v>
      </c>
      <c r="BF97" s="148">
        <f>IF(N97="snížená",J97,0)</f>
        <v>0</v>
      </c>
      <c r="BG97" s="148">
        <f>IF(N97="zákl. přenesená",J97,0)</f>
        <v>0</v>
      </c>
      <c r="BH97" s="148">
        <f>IF(N97="sníž. přenesená",J97,0)</f>
        <v>0</v>
      </c>
      <c r="BI97" s="148">
        <f>IF(N97="nulová",J97,0)</f>
        <v>0</v>
      </c>
      <c r="BJ97" s="19" t="s">
        <v>83</v>
      </c>
      <c r="BK97" s="148">
        <f>ROUND(I97*H97,2)</f>
        <v>0</v>
      </c>
      <c r="BL97" s="19" t="s">
        <v>152</v>
      </c>
      <c r="BM97" s="147" t="s">
        <v>883</v>
      </c>
    </row>
    <row r="98" spans="2:51" s="13" customFormat="1" ht="12">
      <c r="B98" s="149"/>
      <c r="D98" s="150" t="s">
        <v>154</v>
      </c>
      <c r="E98" s="151" t="s">
        <v>3</v>
      </c>
      <c r="F98" s="152" t="s">
        <v>216</v>
      </c>
      <c r="H98" s="151" t="s">
        <v>3</v>
      </c>
      <c r="L98" s="149"/>
      <c r="M98" s="153"/>
      <c r="N98" s="154"/>
      <c r="O98" s="154"/>
      <c r="P98" s="154"/>
      <c r="Q98" s="154"/>
      <c r="R98" s="154"/>
      <c r="S98" s="154"/>
      <c r="T98" s="155"/>
      <c r="AT98" s="151" t="s">
        <v>154</v>
      </c>
      <c r="AU98" s="151" t="s">
        <v>85</v>
      </c>
      <c r="AV98" s="13" t="s">
        <v>83</v>
      </c>
      <c r="AW98" s="13" t="s">
        <v>37</v>
      </c>
      <c r="AX98" s="13" t="s">
        <v>75</v>
      </c>
      <c r="AY98" s="151" t="s">
        <v>144</v>
      </c>
    </row>
    <row r="99" spans="2:51" s="14" customFormat="1" ht="12">
      <c r="B99" s="156"/>
      <c r="D99" s="150" t="s">
        <v>154</v>
      </c>
      <c r="E99" s="157" t="s">
        <v>3</v>
      </c>
      <c r="F99" s="158" t="s">
        <v>223</v>
      </c>
      <c r="H99" s="159">
        <v>18</v>
      </c>
      <c r="L99" s="156"/>
      <c r="M99" s="160"/>
      <c r="N99" s="161"/>
      <c r="O99" s="161"/>
      <c r="P99" s="161"/>
      <c r="Q99" s="161"/>
      <c r="R99" s="161"/>
      <c r="S99" s="161"/>
      <c r="T99" s="162"/>
      <c r="AT99" s="157" t="s">
        <v>154</v>
      </c>
      <c r="AU99" s="157" t="s">
        <v>85</v>
      </c>
      <c r="AV99" s="14" t="s">
        <v>85</v>
      </c>
      <c r="AW99" s="14" t="s">
        <v>37</v>
      </c>
      <c r="AX99" s="14" t="s">
        <v>83</v>
      </c>
      <c r="AY99" s="157" t="s">
        <v>144</v>
      </c>
    </row>
    <row r="100" spans="1:65" s="2" customFormat="1" ht="37.9" customHeight="1">
      <c r="A100" s="31"/>
      <c r="B100" s="136"/>
      <c r="C100" s="137" t="s">
        <v>85</v>
      </c>
      <c r="D100" s="137" t="s">
        <v>147</v>
      </c>
      <c r="E100" s="138" t="s">
        <v>884</v>
      </c>
      <c r="F100" s="139" t="s">
        <v>885</v>
      </c>
      <c r="G100" s="140" t="s">
        <v>156</v>
      </c>
      <c r="H100" s="141">
        <v>2</v>
      </c>
      <c r="I100" s="142"/>
      <c r="J100" s="142">
        <f>ROUND(I100*H100,2)</f>
        <v>0</v>
      </c>
      <c r="K100" s="139" t="s">
        <v>157</v>
      </c>
      <c r="L100" s="32"/>
      <c r="M100" s="143" t="s">
        <v>3</v>
      </c>
      <c r="N100" s="144" t="s">
        <v>46</v>
      </c>
      <c r="O100" s="145">
        <v>0.316</v>
      </c>
      <c r="P100" s="145">
        <f>O100*H100</f>
        <v>0.632</v>
      </c>
      <c r="Q100" s="145">
        <v>0.01893</v>
      </c>
      <c r="R100" s="145">
        <f>Q100*H100</f>
        <v>0.03786</v>
      </c>
      <c r="S100" s="145">
        <v>0</v>
      </c>
      <c r="T100" s="146">
        <f>S100*H100</f>
        <v>0</v>
      </c>
      <c r="U100" s="31"/>
      <c r="V100" s="31"/>
      <c r="W100" s="31"/>
      <c r="X100" s="31"/>
      <c r="Y100" s="31"/>
      <c r="Z100" s="31"/>
      <c r="AA100" s="31"/>
      <c r="AB100" s="31"/>
      <c r="AC100" s="31"/>
      <c r="AD100" s="31"/>
      <c r="AE100" s="31"/>
      <c r="AR100" s="147" t="s">
        <v>152</v>
      </c>
      <c r="AT100" s="147" t="s">
        <v>147</v>
      </c>
      <c r="AU100" s="147" t="s">
        <v>85</v>
      </c>
      <c r="AY100" s="19" t="s">
        <v>144</v>
      </c>
      <c r="BE100" s="148">
        <f>IF(N100="základní",J100,0)</f>
        <v>0</v>
      </c>
      <c r="BF100" s="148">
        <f>IF(N100="snížená",J100,0)</f>
        <v>0</v>
      </c>
      <c r="BG100" s="148">
        <f>IF(N100="zákl. přenesená",J100,0)</f>
        <v>0</v>
      </c>
      <c r="BH100" s="148">
        <f>IF(N100="sníž. přenesená",J100,0)</f>
        <v>0</v>
      </c>
      <c r="BI100" s="148">
        <f>IF(N100="nulová",J100,0)</f>
        <v>0</v>
      </c>
      <c r="BJ100" s="19" t="s">
        <v>83</v>
      </c>
      <c r="BK100" s="148">
        <f>ROUND(I100*H100,2)</f>
        <v>0</v>
      </c>
      <c r="BL100" s="19" t="s">
        <v>152</v>
      </c>
      <c r="BM100" s="147" t="s">
        <v>886</v>
      </c>
    </row>
    <row r="101" spans="2:51" s="13" customFormat="1" ht="12">
      <c r="B101" s="149"/>
      <c r="D101" s="150" t="s">
        <v>154</v>
      </c>
      <c r="E101" s="151" t="s">
        <v>3</v>
      </c>
      <c r="F101" s="152" t="s">
        <v>216</v>
      </c>
      <c r="H101" s="151" t="s">
        <v>3</v>
      </c>
      <c r="L101" s="149"/>
      <c r="M101" s="153"/>
      <c r="N101" s="154"/>
      <c r="O101" s="154"/>
      <c r="P101" s="154"/>
      <c r="Q101" s="154"/>
      <c r="R101" s="154"/>
      <c r="S101" s="154"/>
      <c r="T101" s="155"/>
      <c r="AT101" s="151" t="s">
        <v>154</v>
      </c>
      <c r="AU101" s="151" t="s">
        <v>85</v>
      </c>
      <c r="AV101" s="13" t="s">
        <v>83</v>
      </c>
      <c r="AW101" s="13" t="s">
        <v>37</v>
      </c>
      <c r="AX101" s="13" t="s">
        <v>75</v>
      </c>
      <c r="AY101" s="151" t="s">
        <v>144</v>
      </c>
    </row>
    <row r="102" spans="2:51" s="14" customFormat="1" ht="12">
      <c r="B102" s="156"/>
      <c r="D102" s="150" t="s">
        <v>154</v>
      </c>
      <c r="E102" s="157" t="s">
        <v>3</v>
      </c>
      <c r="F102" s="158" t="s">
        <v>85</v>
      </c>
      <c r="H102" s="159">
        <v>2</v>
      </c>
      <c r="L102" s="156"/>
      <c r="M102" s="160"/>
      <c r="N102" s="161"/>
      <c r="O102" s="161"/>
      <c r="P102" s="161"/>
      <c r="Q102" s="161"/>
      <c r="R102" s="161"/>
      <c r="S102" s="161"/>
      <c r="T102" s="162"/>
      <c r="AT102" s="157" t="s">
        <v>154</v>
      </c>
      <c r="AU102" s="157" t="s">
        <v>85</v>
      </c>
      <c r="AV102" s="14" t="s">
        <v>85</v>
      </c>
      <c r="AW102" s="14" t="s">
        <v>37</v>
      </c>
      <c r="AX102" s="14" t="s">
        <v>83</v>
      </c>
      <c r="AY102" s="157" t="s">
        <v>144</v>
      </c>
    </row>
    <row r="103" spans="1:65" s="2" customFormat="1" ht="24.2" customHeight="1">
      <c r="A103" s="31"/>
      <c r="B103" s="136"/>
      <c r="C103" s="137" t="s">
        <v>145</v>
      </c>
      <c r="D103" s="137" t="s">
        <v>147</v>
      </c>
      <c r="E103" s="138" t="s">
        <v>210</v>
      </c>
      <c r="F103" s="139" t="s">
        <v>211</v>
      </c>
      <c r="G103" s="140" t="s">
        <v>201</v>
      </c>
      <c r="H103" s="141">
        <v>18</v>
      </c>
      <c r="I103" s="142"/>
      <c r="J103" s="142">
        <f>ROUND(I103*H103,2)</f>
        <v>0</v>
      </c>
      <c r="K103" s="139" t="s">
        <v>157</v>
      </c>
      <c r="L103" s="32"/>
      <c r="M103" s="143" t="s">
        <v>3</v>
      </c>
      <c r="N103" s="144" t="s">
        <v>46</v>
      </c>
      <c r="O103" s="145">
        <v>0.2</v>
      </c>
      <c r="P103" s="145">
        <f>O103*H103</f>
        <v>3.6</v>
      </c>
      <c r="Q103" s="145">
        <v>0.00013</v>
      </c>
      <c r="R103" s="145">
        <f>Q103*H103</f>
        <v>0.0023399999999999996</v>
      </c>
      <c r="S103" s="145">
        <v>0</v>
      </c>
      <c r="T103" s="146">
        <f>S103*H103</f>
        <v>0</v>
      </c>
      <c r="U103" s="31"/>
      <c r="V103" s="31"/>
      <c r="W103" s="31"/>
      <c r="X103" s="31"/>
      <c r="Y103" s="31"/>
      <c r="Z103" s="31"/>
      <c r="AA103" s="31"/>
      <c r="AB103" s="31"/>
      <c r="AC103" s="31"/>
      <c r="AD103" s="31"/>
      <c r="AE103" s="31"/>
      <c r="AR103" s="147" t="s">
        <v>152</v>
      </c>
      <c r="AT103" s="147" t="s">
        <v>147</v>
      </c>
      <c r="AU103" s="147" t="s">
        <v>85</v>
      </c>
      <c r="AY103" s="19" t="s">
        <v>144</v>
      </c>
      <c r="BE103" s="148">
        <f>IF(N103="základní",J103,0)</f>
        <v>0</v>
      </c>
      <c r="BF103" s="148">
        <f>IF(N103="snížená",J103,0)</f>
        <v>0</v>
      </c>
      <c r="BG103" s="148">
        <f>IF(N103="zákl. přenesená",J103,0)</f>
        <v>0</v>
      </c>
      <c r="BH103" s="148">
        <f>IF(N103="sníž. přenesená",J103,0)</f>
        <v>0</v>
      </c>
      <c r="BI103" s="148">
        <f>IF(N103="nulová",J103,0)</f>
        <v>0</v>
      </c>
      <c r="BJ103" s="19" t="s">
        <v>83</v>
      </c>
      <c r="BK103" s="148">
        <f>ROUND(I103*H103,2)</f>
        <v>0</v>
      </c>
      <c r="BL103" s="19" t="s">
        <v>152</v>
      </c>
      <c r="BM103" s="147" t="s">
        <v>887</v>
      </c>
    </row>
    <row r="104" spans="1:47" s="2" customFormat="1" ht="78">
      <c r="A104" s="31"/>
      <c r="B104" s="32"/>
      <c r="C104" s="31"/>
      <c r="D104" s="150" t="s">
        <v>158</v>
      </c>
      <c r="E104" s="31"/>
      <c r="F104" s="163" t="s">
        <v>203</v>
      </c>
      <c r="G104" s="31"/>
      <c r="H104" s="31"/>
      <c r="I104" s="31"/>
      <c r="J104" s="31"/>
      <c r="K104" s="31"/>
      <c r="L104" s="32"/>
      <c r="M104" s="164"/>
      <c r="N104" s="165"/>
      <c r="O104" s="52"/>
      <c r="P104" s="52"/>
      <c r="Q104" s="52"/>
      <c r="R104" s="52"/>
      <c r="S104" s="52"/>
      <c r="T104" s="53"/>
      <c r="U104" s="31"/>
      <c r="V104" s="31"/>
      <c r="W104" s="31"/>
      <c r="X104" s="31"/>
      <c r="Y104" s="31"/>
      <c r="Z104" s="31"/>
      <c r="AA104" s="31"/>
      <c r="AB104" s="31"/>
      <c r="AC104" s="31"/>
      <c r="AD104" s="31"/>
      <c r="AE104" s="31"/>
      <c r="AT104" s="19" t="s">
        <v>158</v>
      </c>
      <c r="AU104" s="19" t="s">
        <v>85</v>
      </c>
    </row>
    <row r="105" spans="2:51" s="13" customFormat="1" ht="12">
      <c r="B105" s="149"/>
      <c r="D105" s="150" t="s">
        <v>154</v>
      </c>
      <c r="E105" s="151" t="s">
        <v>3</v>
      </c>
      <c r="F105" s="152" t="s">
        <v>216</v>
      </c>
      <c r="H105" s="151" t="s">
        <v>3</v>
      </c>
      <c r="L105" s="149"/>
      <c r="M105" s="153"/>
      <c r="N105" s="154"/>
      <c r="O105" s="154"/>
      <c r="P105" s="154"/>
      <c r="Q105" s="154"/>
      <c r="R105" s="154"/>
      <c r="S105" s="154"/>
      <c r="T105" s="155"/>
      <c r="AT105" s="151" t="s">
        <v>154</v>
      </c>
      <c r="AU105" s="151" t="s">
        <v>85</v>
      </c>
      <c r="AV105" s="13" t="s">
        <v>83</v>
      </c>
      <c r="AW105" s="13" t="s">
        <v>37</v>
      </c>
      <c r="AX105" s="13" t="s">
        <v>75</v>
      </c>
      <c r="AY105" s="151" t="s">
        <v>144</v>
      </c>
    </row>
    <row r="106" spans="2:51" s="14" customFormat="1" ht="12">
      <c r="B106" s="156"/>
      <c r="D106" s="150" t="s">
        <v>154</v>
      </c>
      <c r="E106" s="157" t="s">
        <v>3</v>
      </c>
      <c r="F106" s="158" t="s">
        <v>888</v>
      </c>
      <c r="H106" s="159">
        <v>18</v>
      </c>
      <c r="L106" s="156"/>
      <c r="M106" s="160"/>
      <c r="N106" s="161"/>
      <c r="O106" s="161"/>
      <c r="P106" s="161"/>
      <c r="Q106" s="161"/>
      <c r="R106" s="161"/>
      <c r="S106" s="161"/>
      <c r="T106" s="162"/>
      <c r="AT106" s="157" t="s">
        <v>154</v>
      </c>
      <c r="AU106" s="157" t="s">
        <v>85</v>
      </c>
      <c r="AV106" s="14" t="s">
        <v>85</v>
      </c>
      <c r="AW106" s="14" t="s">
        <v>37</v>
      </c>
      <c r="AX106" s="14" t="s">
        <v>83</v>
      </c>
      <c r="AY106" s="157" t="s">
        <v>144</v>
      </c>
    </row>
    <row r="107" spans="1:65" s="2" customFormat="1" ht="37.9" customHeight="1">
      <c r="A107" s="31"/>
      <c r="B107" s="136"/>
      <c r="C107" s="137" t="s">
        <v>152</v>
      </c>
      <c r="D107" s="137" t="s">
        <v>147</v>
      </c>
      <c r="E107" s="138" t="s">
        <v>889</v>
      </c>
      <c r="F107" s="139" t="s">
        <v>890</v>
      </c>
      <c r="G107" s="140" t="s">
        <v>183</v>
      </c>
      <c r="H107" s="141">
        <v>9</v>
      </c>
      <c r="I107" s="142"/>
      <c r="J107" s="142">
        <f>ROUND(I107*H107,2)</f>
        <v>0</v>
      </c>
      <c r="K107" s="139" t="s">
        <v>157</v>
      </c>
      <c r="L107" s="32"/>
      <c r="M107" s="143" t="s">
        <v>3</v>
      </c>
      <c r="N107" s="144" t="s">
        <v>46</v>
      </c>
      <c r="O107" s="145">
        <v>0.698</v>
      </c>
      <c r="P107" s="145">
        <f>O107*H107</f>
        <v>6.282</v>
      </c>
      <c r="Q107" s="145">
        <v>0.04367</v>
      </c>
      <c r="R107" s="145">
        <f>Q107*H107</f>
        <v>0.39303</v>
      </c>
      <c r="S107" s="145">
        <v>0</v>
      </c>
      <c r="T107" s="146">
        <f>S107*H107</f>
        <v>0</v>
      </c>
      <c r="U107" s="31"/>
      <c r="V107" s="31"/>
      <c r="W107" s="31"/>
      <c r="X107" s="31"/>
      <c r="Y107" s="31"/>
      <c r="Z107" s="31"/>
      <c r="AA107" s="31"/>
      <c r="AB107" s="31"/>
      <c r="AC107" s="31"/>
      <c r="AD107" s="31"/>
      <c r="AE107" s="31"/>
      <c r="AR107" s="147" t="s">
        <v>152</v>
      </c>
      <c r="AT107" s="147" t="s">
        <v>147</v>
      </c>
      <c r="AU107" s="147" t="s">
        <v>85</v>
      </c>
      <c r="AY107" s="19" t="s">
        <v>144</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152</v>
      </c>
      <c r="BM107" s="147" t="s">
        <v>891</v>
      </c>
    </row>
    <row r="108" spans="1:47" s="2" customFormat="1" ht="19.5">
      <c r="A108" s="31"/>
      <c r="B108" s="32"/>
      <c r="C108" s="31"/>
      <c r="D108" s="150" t="s">
        <v>270</v>
      </c>
      <c r="E108" s="31"/>
      <c r="F108" s="163" t="s">
        <v>892</v>
      </c>
      <c r="G108" s="31"/>
      <c r="H108" s="31"/>
      <c r="I108" s="31"/>
      <c r="J108" s="31"/>
      <c r="K108" s="31"/>
      <c r="L108" s="32"/>
      <c r="M108" s="164"/>
      <c r="N108" s="165"/>
      <c r="O108" s="52"/>
      <c r="P108" s="52"/>
      <c r="Q108" s="52"/>
      <c r="R108" s="52"/>
      <c r="S108" s="52"/>
      <c r="T108" s="53"/>
      <c r="U108" s="31"/>
      <c r="V108" s="31"/>
      <c r="W108" s="31"/>
      <c r="X108" s="31"/>
      <c r="Y108" s="31"/>
      <c r="Z108" s="31"/>
      <c r="AA108" s="31"/>
      <c r="AB108" s="31"/>
      <c r="AC108" s="31"/>
      <c r="AD108" s="31"/>
      <c r="AE108" s="31"/>
      <c r="AT108" s="19" t="s">
        <v>270</v>
      </c>
      <c r="AU108" s="19" t="s">
        <v>85</v>
      </c>
    </row>
    <row r="109" spans="2:51" s="13" customFormat="1" ht="12">
      <c r="B109" s="149"/>
      <c r="D109" s="150" t="s">
        <v>154</v>
      </c>
      <c r="E109" s="151" t="s">
        <v>3</v>
      </c>
      <c r="F109" s="152" t="s">
        <v>893</v>
      </c>
      <c r="H109" s="151" t="s">
        <v>3</v>
      </c>
      <c r="L109" s="149"/>
      <c r="M109" s="153"/>
      <c r="N109" s="154"/>
      <c r="O109" s="154"/>
      <c r="P109" s="154"/>
      <c r="Q109" s="154"/>
      <c r="R109" s="154"/>
      <c r="S109" s="154"/>
      <c r="T109" s="155"/>
      <c r="AT109" s="151" t="s">
        <v>154</v>
      </c>
      <c r="AU109" s="151" t="s">
        <v>85</v>
      </c>
      <c r="AV109" s="13" t="s">
        <v>83</v>
      </c>
      <c r="AW109" s="13" t="s">
        <v>37</v>
      </c>
      <c r="AX109" s="13" t="s">
        <v>75</v>
      </c>
      <c r="AY109" s="151" t="s">
        <v>144</v>
      </c>
    </row>
    <row r="110" spans="2:51" s="14" customFormat="1" ht="12">
      <c r="B110" s="156"/>
      <c r="D110" s="150" t="s">
        <v>154</v>
      </c>
      <c r="E110" s="157" t="s">
        <v>3</v>
      </c>
      <c r="F110" s="158" t="s">
        <v>894</v>
      </c>
      <c r="H110" s="159">
        <v>6</v>
      </c>
      <c r="L110" s="156"/>
      <c r="M110" s="160"/>
      <c r="N110" s="161"/>
      <c r="O110" s="161"/>
      <c r="P110" s="161"/>
      <c r="Q110" s="161"/>
      <c r="R110" s="161"/>
      <c r="S110" s="161"/>
      <c r="T110" s="162"/>
      <c r="AT110" s="157" t="s">
        <v>154</v>
      </c>
      <c r="AU110" s="157" t="s">
        <v>85</v>
      </c>
      <c r="AV110" s="14" t="s">
        <v>85</v>
      </c>
      <c r="AW110" s="14" t="s">
        <v>37</v>
      </c>
      <c r="AX110" s="14" t="s">
        <v>75</v>
      </c>
      <c r="AY110" s="157" t="s">
        <v>144</v>
      </c>
    </row>
    <row r="111" spans="2:51" s="14" customFormat="1" ht="12">
      <c r="B111" s="156"/>
      <c r="D111" s="150" t="s">
        <v>154</v>
      </c>
      <c r="E111" s="157" t="s">
        <v>3</v>
      </c>
      <c r="F111" s="158" t="s">
        <v>895</v>
      </c>
      <c r="H111" s="159">
        <v>3</v>
      </c>
      <c r="L111" s="156"/>
      <c r="M111" s="160"/>
      <c r="N111" s="161"/>
      <c r="O111" s="161"/>
      <c r="P111" s="161"/>
      <c r="Q111" s="161"/>
      <c r="R111" s="161"/>
      <c r="S111" s="161"/>
      <c r="T111" s="162"/>
      <c r="AT111" s="157" t="s">
        <v>154</v>
      </c>
      <c r="AU111" s="157" t="s">
        <v>85</v>
      </c>
      <c r="AV111" s="14" t="s">
        <v>85</v>
      </c>
      <c r="AW111" s="14" t="s">
        <v>37</v>
      </c>
      <c r="AX111" s="14" t="s">
        <v>75</v>
      </c>
      <c r="AY111" s="157" t="s">
        <v>144</v>
      </c>
    </row>
    <row r="112" spans="2:51" s="15" customFormat="1" ht="12">
      <c r="B112" s="166"/>
      <c r="D112" s="150" t="s">
        <v>154</v>
      </c>
      <c r="E112" s="167" t="s">
        <v>3</v>
      </c>
      <c r="F112" s="168" t="s">
        <v>161</v>
      </c>
      <c r="H112" s="169">
        <v>9</v>
      </c>
      <c r="L112" s="166"/>
      <c r="M112" s="170"/>
      <c r="N112" s="171"/>
      <c r="O112" s="171"/>
      <c r="P112" s="171"/>
      <c r="Q112" s="171"/>
      <c r="R112" s="171"/>
      <c r="S112" s="171"/>
      <c r="T112" s="172"/>
      <c r="AT112" s="167" t="s">
        <v>154</v>
      </c>
      <c r="AU112" s="167" t="s">
        <v>85</v>
      </c>
      <c r="AV112" s="15" t="s">
        <v>152</v>
      </c>
      <c r="AW112" s="15" t="s">
        <v>37</v>
      </c>
      <c r="AX112" s="15" t="s">
        <v>83</v>
      </c>
      <c r="AY112" s="167" t="s">
        <v>144</v>
      </c>
    </row>
    <row r="113" spans="2:63" s="12" customFormat="1" ht="22.9" customHeight="1">
      <c r="B113" s="124"/>
      <c r="D113" s="125" t="s">
        <v>74</v>
      </c>
      <c r="E113" s="134" t="s">
        <v>152</v>
      </c>
      <c r="F113" s="134" t="s">
        <v>896</v>
      </c>
      <c r="J113" s="135">
        <f>BK113</f>
        <v>0</v>
      </c>
      <c r="L113" s="124"/>
      <c r="M113" s="128"/>
      <c r="N113" s="129"/>
      <c r="O113" s="129"/>
      <c r="P113" s="130">
        <f>SUM(P114:P116)</f>
        <v>8.082</v>
      </c>
      <c r="Q113" s="129"/>
      <c r="R113" s="130">
        <f>SUM(R114:R116)</f>
        <v>0.31968</v>
      </c>
      <c r="S113" s="129"/>
      <c r="T113" s="131">
        <f>SUM(T114:T116)</f>
        <v>0</v>
      </c>
      <c r="AR113" s="125" t="s">
        <v>83</v>
      </c>
      <c r="AT113" s="132" t="s">
        <v>74</v>
      </c>
      <c r="AU113" s="132" t="s">
        <v>83</v>
      </c>
      <c r="AY113" s="125" t="s">
        <v>144</v>
      </c>
      <c r="BK113" s="133">
        <f>SUM(BK114:BK116)</f>
        <v>0</v>
      </c>
    </row>
    <row r="114" spans="1:65" s="2" customFormat="1" ht="62.65" customHeight="1">
      <c r="A114" s="31"/>
      <c r="B114" s="136"/>
      <c r="C114" s="137" t="s">
        <v>173</v>
      </c>
      <c r="D114" s="137" t="s">
        <v>147</v>
      </c>
      <c r="E114" s="138" t="s">
        <v>897</v>
      </c>
      <c r="F114" s="139" t="s">
        <v>898</v>
      </c>
      <c r="G114" s="140" t="s">
        <v>156</v>
      </c>
      <c r="H114" s="141">
        <v>6</v>
      </c>
      <c r="I114" s="142"/>
      <c r="J114" s="142">
        <f>ROUND(I114*H114,2)</f>
        <v>0</v>
      </c>
      <c r="K114" s="139" t="s">
        <v>157</v>
      </c>
      <c r="L114" s="32"/>
      <c r="M114" s="143" t="s">
        <v>3</v>
      </c>
      <c r="N114" s="144" t="s">
        <v>46</v>
      </c>
      <c r="O114" s="145">
        <v>1.347</v>
      </c>
      <c r="P114" s="145">
        <f>O114*H114</f>
        <v>8.082</v>
      </c>
      <c r="Q114" s="145">
        <v>0.05328</v>
      </c>
      <c r="R114" s="145">
        <f>Q114*H114</f>
        <v>0.31968</v>
      </c>
      <c r="S114" s="145">
        <v>0</v>
      </c>
      <c r="T114" s="146">
        <f>S114*H114</f>
        <v>0</v>
      </c>
      <c r="U114" s="31"/>
      <c r="V114" s="31"/>
      <c r="W114" s="31"/>
      <c r="X114" s="31"/>
      <c r="Y114" s="31"/>
      <c r="Z114" s="31"/>
      <c r="AA114" s="31"/>
      <c r="AB114" s="31"/>
      <c r="AC114" s="31"/>
      <c r="AD114" s="31"/>
      <c r="AE114" s="31"/>
      <c r="AR114" s="147" t="s">
        <v>152</v>
      </c>
      <c r="AT114" s="147" t="s">
        <v>147</v>
      </c>
      <c r="AU114" s="147" t="s">
        <v>85</v>
      </c>
      <c r="AY114" s="19" t="s">
        <v>144</v>
      </c>
      <c r="BE114" s="148">
        <f>IF(N114="základní",J114,0)</f>
        <v>0</v>
      </c>
      <c r="BF114" s="148">
        <f>IF(N114="snížená",J114,0)</f>
        <v>0</v>
      </c>
      <c r="BG114" s="148">
        <f>IF(N114="zákl. přenesená",J114,0)</f>
        <v>0</v>
      </c>
      <c r="BH114" s="148">
        <f>IF(N114="sníž. přenesená",J114,0)</f>
        <v>0</v>
      </c>
      <c r="BI114" s="148">
        <f>IF(N114="nulová",J114,0)</f>
        <v>0</v>
      </c>
      <c r="BJ114" s="19" t="s">
        <v>83</v>
      </c>
      <c r="BK114" s="148">
        <f>ROUND(I114*H114,2)</f>
        <v>0</v>
      </c>
      <c r="BL114" s="19" t="s">
        <v>152</v>
      </c>
      <c r="BM114" s="147" t="s">
        <v>899</v>
      </c>
    </row>
    <row r="115" spans="2:51" s="13" customFormat="1" ht="12">
      <c r="B115" s="149"/>
      <c r="D115" s="150" t="s">
        <v>154</v>
      </c>
      <c r="E115" s="151" t="s">
        <v>3</v>
      </c>
      <c r="F115" s="152" t="s">
        <v>900</v>
      </c>
      <c r="H115" s="151" t="s">
        <v>3</v>
      </c>
      <c r="L115" s="149"/>
      <c r="M115" s="153"/>
      <c r="N115" s="154"/>
      <c r="O115" s="154"/>
      <c r="P115" s="154"/>
      <c r="Q115" s="154"/>
      <c r="R115" s="154"/>
      <c r="S115" s="154"/>
      <c r="T115" s="155"/>
      <c r="AT115" s="151" t="s">
        <v>154</v>
      </c>
      <c r="AU115" s="151" t="s">
        <v>85</v>
      </c>
      <c r="AV115" s="13" t="s">
        <v>83</v>
      </c>
      <c r="AW115" s="13" t="s">
        <v>37</v>
      </c>
      <c r="AX115" s="13" t="s">
        <v>75</v>
      </c>
      <c r="AY115" s="151" t="s">
        <v>144</v>
      </c>
    </row>
    <row r="116" spans="2:51" s="14" customFormat="1" ht="12">
      <c r="B116" s="156"/>
      <c r="D116" s="150" t="s">
        <v>154</v>
      </c>
      <c r="E116" s="157" t="s">
        <v>3</v>
      </c>
      <c r="F116" s="158" t="s">
        <v>901</v>
      </c>
      <c r="H116" s="159">
        <v>6</v>
      </c>
      <c r="L116" s="156"/>
      <c r="M116" s="160"/>
      <c r="N116" s="161"/>
      <c r="O116" s="161"/>
      <c r="P116" s="161"/>
      <c r="Q116" s="161"/>
      <c r="R116" s="161"/>
      <c r="S116" s="161"/>
      <c r="T116" s="162"/>
      <c r="AT116" s="157" t="s">
        <v>154</v>
      </c>
      <c r="AU116" s="157" t="s">
        <v>85</v>
      </c>
      <c r="AV116" s="14" t="s">
        <v>85</v>
      </c>
      <c r="AW116" s="14" t="s">
        <v>37</v>
      </c>
      <c r="AX116" s="14" t="s">
        <v>83</v>
      </c>
      <c r="AY116" s="157" t="s">
        <v>144</v>
      </c>
    </row>
    <row r="117" spans="2:63" s="12" customFormat="1" ht="22.9" customHeight="1">
      <c r="B117" s="124"/>
      <c r="D117" s="125" t="s">
        <v>74</v>
      </c>
      <c r="E117" s="134" t="s">
        <v>179</v>
      </c>
      <c r="F117" s="134" t="s">
        <v>217</v>
      </c>
      <c r="J117" s="135">
        <f>BK117</f>
        <v>0</v>
      </c>
      <c r="L117" s="124"/>
      <c r="M117" s="128"/>
      <c r="N117" s="129"/>
      <c r="O117" s="129"/>
      <c r="P117" s="130">
        <f>SUM(P118:P131)</f>
        <v>11.05863</v>
      </c>
      <c r="Q117" s="129"/>
      <c r="R117" s="130">
        <f>SUM(R118:R131)</f>
        <v>1.920044175</v>
      </c>
      <c r="S117" s="129"/>
      <c r="T117" s="131">
        <f>SUM(T118:T131)</f>
        <v>0</v>
      </c>
      <c r="AR117" s="125" t="s">
        <v>83</v>
      </c>
      <c r="AT117" s="132" t="s">
        <v>74</v>
      </c>
      <c r="AU117" s="132" t="s">
        <v>83</v>
      </c>
      <c r="AY117" s="125" t="s">
        <v>144</v>
      </c>
      <c r="BK117" s="133">
        <f>SUM(BK118:BK131)</f>
        <v>0</v>
      </c>
    </row>
    <row r="118" spans="1:65" s="2" customFormat="1" ht="14.45" customHeight="1">
      <c r="A118" s="31"/>
      <c r="B118" s="136"/>
      <c r="C118" s="137" t="s">
        <v>179</v>
      </c>
      <c r="D118" s="137" t="s">
        <v>147</v>
      </c>
      <c r="E118" s="138" t="s">
        <v>902</v>
      </c>
      <c r="F118" s="139" t="s">
        <v>903</v>
      </c>
      <c r="G118" s="140" t="s">
        <v>183</v>
      </c>
      <c r="H118" s="141">
        <f>H121</f>
        <v>4.224</v>
      </c>
      <c r="I118" s="142"/>
      <c r="J118" s="142">
        <f>ROUND(I118*H118,2)</f>
        <v>0</v>
      </c>
      <c r="K118" s="139" t="s">
        <v>157</v>
      </c>
      <c r="L118" s="32"/>
      <c r="M118" s="143" t="s">
        <v>3</v>
      </c>
      <c r="N118" s="144" t="s">
        <v>46</v>
      </c>
      <c r="O118" s="145">
        <v>0.624</v>
      </c>
      <c r="P118" s="145">
        <f>O118*H118</f>
        <v>2.6357760000000003</v>
      </c>
      <c r="Q118" s="145">
        <v>0.04</v>
      </c>
      <c r="R118" s="145">
        <f>Q118*H118</f>
        <v>0.16896</v>
      </c>
      <c r="S118" s="145">
        <v>0</v>
      </c>
      <c r="T118" s="146">
        <f>S118*H118</f>
        <v>0</v>
      </c>
      <c r="U118" s="31"/>
      <c r="V118" s="31"/>
      <c r="W118" s="31"/>
      <c r="X118" s="31"/>
      <c r="Y118" s="31"/>
      <c r="Z118" s="31"/>
      <c r="AA118" s="31"/>
      <c r="AB118" s="31"/>
      <c r="AC118" s="31"/>
      <c r="AD118" s="31"/>
      <c r="AE118" s="31"/>
      <c r="AR118" s="147" t="s">
        <v>152</v>
      </c>
      <c r="AT118" s="147" t="s">
        <v>147</v>
      </c>
      <c r="AU118" s="147" t="s">
        <v>85</v>
      </c>
      <c r="AY118" s="19" t="s">
        <v>144</v>
      </c>
      <c r="BE118" s="148">
        <f>IF(N118="základní",J118,0)</f>
        <v>0</v>
      </c>
      <c r="BF118" s="148">
        <f>IF(N118="snížená",J118,0)</f>
        <v>0</v>
      </c>
      <c r="BG118" s="148">
        <f>IF(N118="zákl. přenesená",J118,0)</f>
        <v>0</v>
      </c>
      <c r="BH118" s="148">
        <f>IF(N118="sníž. přenesená",J118,0)</f>
        <v>0</v>
      </c>
      <c r="BI118" s="148">
        <f>IF(N118="nulová",J118,0)</f>
        <v>0</v>
      </c>
      <c r="BJ118" s="19" t="s">
        <v>83</v>
      </c>
      <c r="BK118" s="148">
        <f>ROUND(I118*H118,2)</f>
        <v>0</v>
      </c>
      <c r="BL118" s="19" t="s">
        <v>152</v>
      </c>
      <c r="BM118" s="147" t="s">
        <v>904</v>
      </c>
    </row>
    <row r="119" spans="1:47" s="2" customFormat="1" ht="39">
      <c r="A119" s="31"/>
      <c r="B119" s="32"/>
      <c r="C119" s="31"/>
      <c r="D119" s="150" t="s">
        <v>158</v>
      </c>
      <c r="E119" s="31"/>
      <c r="F119" s="163" t="s">
        <v>905</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158</v>
      </c>
      <c r="AU119" s="19" t="s">
        <v>85</v>
      </c>
    </row>
    <row r="120" spans="2:51" s="13" customFormat="1" ht="12">
      <c r="B120" s="149"/>
      <c r="D120" s="150" t="s">
        <v>154</v>
      </c>
      <c r="E120" s="151" t="s">
        <v>3</v>
      </c>
      <c r="F120" s="152" t="s">
        <v>216</v>
      </c>
      <c r="H120" s="151" t="s">
        <v>3</v>
      </c>
      <c r="L120" s="149"/>
      <c r="M120" s="153"/>
      <c r="N120" s="154"/>
      <c r="O120" s="154"/>
      <c r="P120" s="154"/>
      <c r="Q120" s="154"/>
      <c r="R120" s="154"/>
      <c r="S120" s="154"/>
      <c r="T120" s="155"/>
      <c r="AT120" s="151" t="s">
        <v>154</v>
      </c>
      <c r="AU120" s="151" t="s">
        <v>85</v>
      </c>
      <c r="AV120" s="13" t="s">
        <v>83</v>
      </c>
      <c r="AW120" s="13" t="s">
        <v>37</v>
      </c>
      <c r="AX120" s="13" t="s">
        <v>75</v>
      </c>
      <c r="AY120" s="151" t="s">
        <v>144</v>
      </c>
    </row>
    <row r="121" spans="2:51" s="14" customFormat="1" ht="12">
      <c r="B121" s="156"/>
      <c r="D121" s="150" t="s">
        <v>154</v>
      </c>
      <c r="E121" s="157" t="s">
        <v>3</v>
      </c>
      <c r="F121" s="158" t="s">
        <v>1844</v>
      </c>
      <c r="H121" s="159">
        <f>33.24*0.1+6*0.15</f>
        <v>4.224</v>
      </c>
      <c r="L121" s="156"/>
      <c r="M121" s="160"/>
      <c r="N121" s="161"/>
      <c r="O121" s="161"/>
      <c r="P121" s="161"/>
      <c r="Q121" s="161"/>
      <c r="R121" s="161"/>
      <c r="S121" s="161"/>
      <c r="T121" s="162"/>
      <c r="AT121" s="157" t="s">
        <v>154</v>
      </c>
      <c r="AU121" s="157" t="s">
        <v>85</v>
      </c>
      <c r="AV121" s="14" t="s">
        <v>85</v>
      </c>
      <c r="AW121" s="14" t="s">
        <v>37</v>
      </c>
      <c r="AX121" s="14" t="s">
        <v>83</v>
      </c>
      <c r="AY121" s="157" t="s">
        <v>144</v>
      </c>
    </row>
    <row r="122" spans="1:65" s="2" customFormat="1" ht="24.2" customHeight="1">
      <c r="A122" s="31"/>
      <c r="B122" s="136"/>
      <c r="C122" s="137" t="s">
        <v>180</v>
      </c>
      <c r="D122" s="137" t="s">
        <v>147</v>
      </c>
      <c r="E122" s="138" t="s">
        <v>906</v>
      </c>
      <c r="F122" s="139" t="s">
        <v>907</v>
      </c>
      <c r="G122" s="140" t="s">
        <v>183</v>
      </c>
      <c r="H122" s="141">
        <f>H118</f>
        <v>4.224</v>
      </c>
      <c r="I122" s="142"/>
      <c r="J122" s="142">
        <f>ROUND(I122*H122,2)</f>
        <v>0</v>
      </c>
      <c r="K122" s="139" t="s">
        <v>157</v>
      </c>
      <c r="L122" s="32"/>
      <c r="M122" s="143" t="s">
        <v>3</v>
      </c>
      <c r="N122" s="144" t="s">
        <v>46</v>
      </c>
      <c r="O122" s="145">
        <v>1.496</v>
      </c>
      <c r="P122" s="145">
        <f>O122*H122</f>
        <v>6.319104</v>
      </c>
      <c r="Q122" s="145">
        <v>0.0382</v>
      </c>
      <c r="R122" s="145">
        <f>Q122*H122</f>
        <v>0.1613568</v>
      </c>
      <c r="S122" s="145">
        <v>0</v>
      </c>
      <c r="T122" s="146">
        <f>S122*H122</f>
        <v>0</v>
      </c>
      <c r="U122" s="31"/>
      <c r="V122" s="31"/>
      <c r="W122" s="31"/>
      <c r="X122" s="31"/>
      <c r="Y122" s="31"/>
      <c r="Z122" s="31"/>
      <c r="AA122" s="31"/>
      <c r="AB122" s="31"/>
      <c r="AC122" s="31"/>
      <c r="AD122" s="31"/>
      <c r="AE122" s="31"/>
      <c r="AR122" s="147" t="s">
        <v>152</v>
      </c>
      <c r="AT122" s="147" t="s">
        <v>147</v>
      </c>
      <c r="AU122" s="147" t="s">
        <v>85</v>
      </c>
      <c r="AY122" s="19" t="s">
        <v>144</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152</v>
      </c>
      <c r="BM122" s="147" t="s">
        <v>908</v>
      </c>
    </row>
    <row r="123" spans="1:65" s="2" customFormat="1" ht="24.2" customHeight="1">
      <c r="A123" s="31"/>
      <c r="B123" s="136"/>
      <c r="C123" s="137" t="s">
        <v>177</v>
      </c>
      <c r="D123" s="137" t="s">
        <v>147</v>
      </c>
      <c r="E123" s="138" t="s">
        <v>909</v>
      </c>
      <c r="F123" s="139" t="s">
        <v>910</v>
      </c>
      <c r="G123" s="140" t="s">
        <v>150</v>
      </c>
      <c r="H123" s="141">
        <f>H139</f>
        <v>0.6375</v>
      </c>
      <c r="I123" s="142"/>
      <c r="J123" s="142">
        <f>ROUND(I123*H123,2)</f>
        <v>0</v>
      </c>
      <c r="K123" s="139" t="s">
        <v>157</v>
      </c>
      <c r="L123" s="32"/>
      <c r="M123" s="143" t="s">
        <v>3</v>
      </c>
      <c r="N123" s="144" t="s">
        <v>46</v>
      </c>
      <c r="O123" s="145">
        <v>2.317</v>
      </c>
      <c r="P123" s="145">
        <f>O123*H123</f>
        <v>1.4770875</v>
      </c>
      <c r="Q123" s="145">
        <v>2.45329</v>
      </c>
      <c r="R123" s="145">
        <f>Q123*H123</f>
        <v>1.5639723749999999</v>
      </c>
      <c r="S123" s="145">
        <v>0</v>
      </c>
      <c r="T123" s="146">
        <f>S123*H123</f>
        <v>0</v>
      </c>
      <c r="U123" s="31"/>
      <c r="V123" s="31"/>
      <c r="W123" s="31"/>
      <c r="X123" s="31"/>
      <c r="Y123" s="31"/>
      <c r="Z123" s="31"/>
      <c r="AA123" s="31"/>
      <c r="AB123" s="31"/>
      <c r="AC123" s="31"/>
      <c r="AD123" s="31"/>
      <c r="AE123" s="31"/>
      <c r="AR123" s="147" t="s">
        <v>152</v>
      </c>
      <c r="AT123" s="147" t="s">
        <v>147</v>
      </c>
      <c r="AU123" s="147" t="s">
        <v>85</v>
      </c>
      <c r="AY123" s="19" t="s">
        <v>144</v>
      </c>
      <c r="BE123" s="148">
        <f>IF(N123="základní",J123,0)</f>
        <v>0</v>
      </c>
      <c r="BF123" s="148">
        <f>IF(N123="snížená",J123,0)</f>
        <v>0</v>
      </c>
      <c r="BG123" s="148">
        <f>IF(N123="zákl. přenesená",J123,0)</f>
        <v>0</v>
      </c>
      <c r="BH123" s="148">
        <f>IF(N123="sníž. přenesená",J123,0)</f>
        <v>0</v>
      </c>
      <c r="BI123" s="148">
        <f>IF(N123="nulová",J123,0)</f>
        <v>0</v>
      </c>
      <c r="BJ123" s="19" t="s">
        <v>83</v>
      </c>
      <c r="BK123" s="148">
        <f>ROUND(I123*H123,2)</f>
        <v>0</v>
      </c>
      <c r="BL123" s="19" t="s">
        <v>152</v>
      </c>
      <c r="BM123" s="147" t="s">
        <v>911</v>
      </c>
    </row>
    <row r="124" spans="1:47" s="2" customFormat="1" ht="224.25">
      <c r="A124" s="31"/>
      <c r="B124" s="32"/>
      <c r="C124" s="31"/>
      <c r="D124" s="150" t="s">
        <v>158</v>
      </c>
      <c r="E124" s="31"/>
      <c r="F124" s="163" t="s">
        <v>912</v>
      </c>
      <c r="G124" s="31"/>
      <c r="H124" s="31"/>
      <c r="I124" s="31"/>
      <c r="J124" s="31"/>
      <c r="K124" s="31"/>
      <c r="L124" s="32"/>
      <c r="M124" s="164"/>
      <c r="N124" s="165"/>
      <c r="O124" s="52"/>
      <c r="P124" s="52"/>
      <c r="Q124" s="52"/>
      <c r="R124" s="52"/>
      <c r="S124" s="52"/>
      <c r="T124" s="53"/>
      <c r="U124" s="31"/>
      <c r="V124" s="31"/>
      <c r="W124" s="31"/>
      <c r="X124" s="31"/>
      <c r="Y124" s="31"/>
      <c r="Z124" s="31"/>
      <c r="AA124" s="31"/>
      <c r="AB124" s="31"/>
      <c r="AC124" s="31"/>
      <c r="AD124" s="31"/>
      <c r="AE124" s="31"/>
      <c r="AT124" s="19" t="s">
        <v>158</v>
      </c>
      <c r="AU124" s="19" t="s">
        <v>85</v>
      </c>
    </row>
    <row r="125" spans="2:51" s="13" customFormat="1" ht="12">
      <c r="B125" s="149"/>
      <c r="D125" s="150" t="s">
        <v>154</v>
      </c>
      <c r="E125" s="151" t="s">
        <v>3</v>
      </c>
      <c r="F125" s="152" t="s">
        <v>216</v>
      </c>
      <c r="H125" s="151" t="s">
        <v>3</v>
      </c>
      <c r="L125" s="149"/>
      <c r="M125" s="153"/>
      <c r="N125" s="154"/>
      <c r="O125" s="154"/>
      <c r="P125" s="154"/>
      <c r="Q125" s="154"/>
      <c r="R125" s="154"/>
      <c r="S125" s="154"/>
      <c r="T125" s="155"/>
      <c r="AT125" s="151" t="s">
        <v>154</v>
      </c>
      <c r="AU125" s="151" t="s">
        <v>85</v>
      </c>
      <c r="AV125" s="13" t="s">
        <v>83</v>
      </c>
      <c r="AW125" s="13" t="s">
        <v>37</v>
      </c>
      <c r="AX125" s="13" t="s">
        <v>75</v>
      </c>
      <c r="AY125" s="151" t="s">
        <v>144</v>
      </c>
    </row>
    <row r="126" spans="2:51" s="14" customFormat="1" ht="12">
      <c r="B126" s="156"/>
      <c r="D126" s="150" t="s">
        <v>154</v>
      </c>
      <c r="E126" s="157" t="s">
        <v>3</v>
      </c>
      <c r="F126" s="158" t="s">
        <v>1837</v>
      </c>
      <c r="H126" s="159">
        <f>H123</f>
        <v>0.6375</v>
      </c>
      <c r="L126" s="156"/>
      <c r="M126" s="160"/>
      <c r="N126" s="161"/>
      <c r="O126" s="161"/>
      <c r="P126" s="161"/>
      <c r="Q126" s="161"/>
      <c r="R126" s="161"/>
      <c r="S126" s="161"/>
      <c r="T126" s="162"/>
      <c r="AT126" s="157" t="s">
        <v>154</v>
      </c>
      <c r="AU126" s="157" t="s">
        <v>85</v>
      </c>
      <c r="AV126" s="14" t="s">
        <v>85</v>
      </c>
      <c r="AW126" s="14" t="s">
        <v>37</v>
      </c>
      <c r="AX126" s="14" t="s">
        <v>83</v>
      </c>
      <c r="AY126" s="157" t="s">
        <v>144</v>
      </c>
    </row>
    <row r="127" spans="1:65" s="2" customFormat="1" ht="37.9" customHeight="1">
      <c r="A127" s="31"/>
      <c r="B127" s="136"/>
      <c r="C127" s="137" t="s">
        <v>188</v>
      </c>
      <c r="D127" s="137" t="s">
        <v>147</v>
      </c>
      <c r="E127" s="138" t="s">
        <v>913</v>
      </c>
      <c r="F127" s="139" t="s">
        <v>914</v>
      </c>
      <c r="G127" s="140" t="s">
        <v>150</v>
      </c>
      <c r="H127" s="141">
        <f>H123</f>
        <v>0.6375</v>
      </c>
      <c r="I127" s="142"/>
      <c r="J127" s="142">
        <f>ROUND(I127*H127,2)</f>
        <v>0</v>
      </c>
      <c r="K127" s="139" t="s">
        <v>157</v>
      </c>
      <c r="L127" s="32"/>
      <c r="M127" s="143" t="s">
        <v>3</v>
      </c>
      <c r="N127" s="144" t="s">
        <v>46</v>
      </c>
      <c r="O127" s="145">
        <v>0.675</v>
      </c>
      <c r="P127" s="145">
        <f>O127*H127</f>
        <v>0.4303125</v>
      </c>
      <c r="Q127" s="145">
        <v>0</v>
      </c>
      <c r="R127" s="145">
        <f>Q127*H127</f>
        <v>0</v>
      </c>
      <c r="S127" s="145">
        <v>0</v>
      </c>
      <c r="T127" s="146">
        <f>S127*H127</f>
        <v>0</v>
      </c>
      <c r="U127" s="31"/>
      <c r="V127" s="31"/>
      <c r="W127" s="31"/>
      <c r="X127" s="31"/>
      <c r="Y127" s="31"/>
      <c r="Z127" s="31"/>
      <c r="AA127" s="31"/>
      <c r="AB127" s="31"/>
      <c r="AC127" s="31"/>
      <c r="AD127" s="31"/>
      <c r="AE127" s="31"/>
      <c r="AR127" s="147" t="s">
        <v>152</v>
      </c>
      <c r="AT127" s="147" t="s">
        <v>147</v>
      </c>
      <c r="AU127" s="147" t="s">
        <v>85</v>
      </c>
      <c r="AY127" s="19" t="s">
        <v>144</v>
      </c>
      <c r="BE127" s="148">
        <f>IF(N127="základní",J127,0)</f>
        <v>0</v>
      </c>
      <c r="BF127" s="148">
        <f>IF(N127="snížená",J127,0)</f>
        <v>0</v>
      </c>
      <c r="BG127" s="148">
        <f>IF(N127="zákl. přenesená",J127,0)</f>
        <v>0</v>
      </c>
      <c r="BH127" s="148">
        <f>IF(N127="sníž. přenesená",J127,0)</f>
        <v>0</v>
      </c>
      <c r="BI127" s="148">
        <f>IF(N127="nulová",J127,0)</f>
        <v>0</v>
      </c>
      <c r="BJ127" s="19" t="s">
        <v>83</v>
      </c>
      <c r="BK127" s="148">
        <f>ROUND(I127*H127,2)</f>
        <v>0</v>
      </c>
      <c r="BL127" s="19" t="s">
        <v>152</v>
      </c>
      <c r="BM127" s="147" t="s">
        <v>915</v>
      </c>
    </row>
    <row r="128" spans="1:47" s="2" customFormat="1" ht="87.75">
      <c r="A128" s="31"/>
      <c r="B128" s="32"/>
      <c r="C128" s="31"/>
      <c r="D128" s="150" t="s">
        <v>158</v>
      </c>
      <c r="E128" s="31"/>
      <c r="F128" s="163" t="s">
        <v>916</v>
      </c>
      <c r="G128" s="31"/>
      <c r="H128" s="31"/>
      <c r="I128" s="31"/>
      <c r="J128" s="31"/>
      <c r="K128" s="31"/>
      <c r="L128" s="32"/>
      <c r="M128" s="164"/>
      <c r="N128" s="165"/>
      <c r="O128" s="52"/>
      <c r="P128" s="52"/>
      <c r="Q128" s="52"/>
      <c r="R128" s="52"/>
      <c r="S128" s="52"/>
      <c r="T128" s="53"/>
      <c r="U128" s="31"/>
      <c r="V128" s="31"/>
      <c r="W128" s="31"/>
      <c r="X128" s="31"/>
      <c r="Y128" s="31"/>
      <c r="Z128" s="31"/>
      <c r="AA128" s="31"/>
      <c r="AB128" s="31"/>
      <c r="AC128" s="31"/>
      <c r="AD128" s="31"/>
      <c r="AE128" s="31"/>
      <c r="AT128" s="19" t="s">
        <v>158</v>
      </c>
      <c r="AU128" s="19" t="s">
        <v>85</v>
      </c>
    </row>
    <row r="129" spans="1:65" s="2" customFormat="1" ht="24.2" customHeight="1">
      <c r="A129" s="31"/>
      <c r="B129" s="136"/>
      <c r="C129" s="137" t="s">
        <v>189</v>
      </c>
      <c r="D129" s="137" t="s">
        <v>147</v>
      </c>
      <c r="E129" s="138" t="s">
        <v>917</v>
      </c>
      <c r="F129" s="139" t="s">
        <v>918</v>
      </c>
      <c r="G129" s="140" t="s">
        <v>150</v>
      </c>
      <c r="H129" s="141">
        <f>H123</f>
        <v>0.6375</v>
      </c>
      <c r="I129" s="142"/>
      <c r="J129" s="142">
        <f>ROUND(I129*H129,2)</f>
        <v>0</v>
      </c>
      <c r="K129" s="139" t="s">
        <v>157</v>
      </c>
      <c r="L129" s="32"/>
      <c r="M129" s="143" t="s">
        <v>3</v>
      </c>
      <c r="N129" s="144" t="s">
        <v>46</v>
      </c>
      <c r="O129" s="145">
        <v>0.208</v>
      </c>
      <c r="P129" s="145">
        <f>O129*H129</f>
        <v>0.1326</v>
      </c>
      <c r="Q129" s="145">
        <v>0</v>
      </c>
      <c r="R129" s="145">
        <f>Q129*H129</f>
        <v>0</v>
      </c>
      <c r="S129" s="145">
        <v>0</v>
      </c>
      <c r="T129" s="146">
        <f>S129*H129</f>
        <v>0</v>
      </c>
      <c r="U129" s="31"/>
      <c r="V129" s="31"/>
      <c r="W129" s="31"/>
      <c r="X129" s="31"/>
      <c r="Y129" s="31"/>
      <c r="Z129" s="31"/>
      <c r="AA129" s="31"/>
      <c r="AB129" s="31"/>
      <c r="AC129" s="31"/>
      <c r="AD129" s="31"/>
      <c r="AE129" s="31"/>
      <c r="AR129" s="147" t="s">
        <v>152</v>
      </c>
      <c r="AT129" s="147" t="s">
        <v>147</v>
      </c>
      <c r="AU129" s="147" t="s">
        <v>85</v>
      </c>
      <c r="AY129" s="19" t="s">
        <v>144</v>
      </c>
      <c r="BE129" s="148">
        <f>IF(N129="základní",J129,0)</f>
        <v>0</v>
      </c>
      <c r="BF129" s="148">
        <f>IF(N129="snížená",J129,0)</f>
        <v>0</v>
      </c>
      <c r="BG129" s="148">
        <f>IF(N129="zákl. přenesená",J129,0)</f>
        <v>0</v>
      </c>
      <c r="BH129" s="148">
        <f>IF(N129="sníž. přenesená",J129,0)</f>
        <v>0</v>
      </c>
      <c r="BI129" s="148">
        <f>IF(N129="nulová",J129,0)</f>
        <v>0</v>
      </c>
      <c r="BJ129" s="19" t="s">
        <v>83</v>
      </c>
      <c r="BK129" s="148">
        <f>ROUND(I129*H129,2)</f>
        <v>0</v>
      </c>
      <c r="BL129" s="19" t="s">
        <v>152</v>
      </c>
      <c r="BM129" s="147" t="s">
        <v>919</v>
      </c>
    </row>
    <row r="130" spans="1:47" s="2" customFormat="1" ht="87.75">
      <c r="A130" s="31"/>
      <c r="B130" s="32"/>
      <c r="C130" s="31"/>
      <c r="D130" s="150" t="s">
        <v>158</v>
      </c>
      <c r="E130" s="31"/>
      <c r="F130" s="163" t="s">
        <v>916</v>
      </c>
      <c r="G130" s="31"/>
      <c r="H130" s="31"/>
      <c r="I130" s="31"/>
      <c r="J130" s="31"/>
      <c r="K130" s="31"/>
      <c r="L130" s="32"/>
      <c r="M130" s="164"/>
      <c r="N130" s="165"/>
      <c r="O130" s="52"/>
      <c r="P130" s="52"/>
      <c r="Q130" s="52"/>
      <c r="R130" s="52"/>
      <c r="S130" s="52"/>
      <c r="T130" s="53"/>
      <c r="U130" s="31"/>
      <c r="V130" s="31"/>
      <c r="W130" s="31"/>
      <c r="X130" s="31"/>
      <c r="Y130" s="31"/>
      <c r="Z130" s="31"/>
      <c r="AA130" s="31"/>
      <c r="AB130" s="31"/>
      <c r="AC130" s="31"/>
      <c r="AD130" s="31"/>
      <c r="AE130" s="31"/>
      <c r="AT130" s="19" t="s">
        <v>158</v>
      </c>
      <c r="AU130" s="19" t="s">
        <v>85</v>
      </c>
    </row>
    <row r="131" spans="1:65" s="2" customFormat="1" ht="37.9" customHeight="1">
      <c r="A131" s="31"/>
      <c r="B131" s="136"/>
      <c r="C131" s="137" t="s">
        <v>193</v>
      </c>
      <c r="D131" s="137" t="s">
        <v>147</v>
      </c>
      <c r="E131" s="138" t="s">
        <v>920</v>
      </c>
      <c r="F131" s="139" t="s">
        <v>921</v>
      </c>
      <c r="G131" s="140" t="s">
        <v>150</v>
      </c>
      <c r="H131" s="141">
        <f>H123</f>
        <v>0.6375</v>
      </c>
      <c r="I131" s="142"/>
      <c r="J131" s="142">
        <f>ROUND(I131*H131,2)</f>
        <v>0</v>
      </c>
      <c r="K131" s="139" t="s">
        <v>157</v>
      </c>
      <c r="L131" s="32"/>
      <c r="M131" s="143" t="s">
        <v>3</v>
      </c>
      <c r="N131" s="144" t="s">
        <v>46</v>
      </c>
      <c r="O131" s="145">
        <v>0.1</v>
      </c>
      <c r="P131" s="145">
        <f>O131*H131</f>
        <v>0.06375</v>
      </c>
      <c r="Q131" s="145">
        <v>0.0404</v>
      </c>
      <c r="R131" s="145">
        <f>Q131*H131</f>
        <v>0.025754999999999997</v>
      </c>
      <c r="S131" s="145">
        <v>0</v>
      </c>
      <c r="T131" s="146">
        <f>S131*H131</f>
        <v>0</v>
      </c>
      <c r="U131" s="31"/>
      <c r="V131" s="31"/>
      <c r="W131" s="31"/>
      <c r="X131" s="31"/>
      <c r="Y131" s="31"/>
      <c r="Z131" s="31"/>
      <c r="AA131" s="31"/>
      <c r="AB131" s="31"/>
      <c r="AC131" s="31"/>
      <c r="AD131" s="31"/>
      <c r="AE131" s="31"/>
      <c r="AR131" s="147" t="s">
        <v>152</v>
      </c>
      <c r="AT131" s="147" t="s">
        <v>147</v>
      </c>
      <c r="AU131" s="147" t="s">
        <v>85</v>
      </c>
      <c r="AY131" s="19" t="s">
        <v>144</v>
      </c>
      <c r="BE131" s="148">
        <f>IF(N131="základní",J131,0)</f>
        <v>0</v>
      </c>
      <c r="BF131" s="148">
        <f>IF(N131="snížená",J131,0)</f>
        <v>0</v>
      </c>
      <c r="BG131" s="148">
        <f>IF(N131="zákl. přenesená",J131,0)</f>
        <v>0</v>
      </c>
      <c r="BH131" s="148">
        <f>IF(N131="sníž. přenesená",J131,0)</f>
        <v>0</v>
      </c>
      <c r="BI131" s="148">
        <f>IF(N131="nulová",J131,0)</f>
        <v>0</v>
      </c>
      <c r="BJ131" s="19" t="s">
        <v>83</v>
      </c>
      <c r="BK131" s="148">
        <f>ROUND(I131*H131,2)</f>
        <v>0</v>
      </c>
      <c r="BL131" s="19" t="s">
        <v>152</v>
      </c>
      <c r="BM131" s="147" t="s">
        <v>922</v>
      </c>
    </row>
    <row r="132" spans="2:63" s="12" customFormat="1" ht="22.9" customHeight="1">
      <c r="B132" s="124"/>
      <c r="D132" s="125" t="s">
        <v>74</v>
      </c>
      <c r="E132" s="134" t="s">
        <v>188</v>
      </c>
      <c r="F132" s="134" t="s">
        <v>278</v>
      </c>
      <c r="J132" s="135">
        <f>BK132</f>
        <v>0</v>
      </c>
      <c r="L132" s="124"/>
      <c r="M132" s="128"/>
      <c r="N132" s="129"/>
      <c r="O132" s="129"/>
      <c r="P132" s="130">
        <f>SUM(P133:P162)</f>
        <v>37.486554999999996</v>
      </c>
      <c r="Q132" s="129"/>
      <c r="R132" s="130">
        <f>SUM(R133:R162)</f>
        <v>0</v>
      </c>
      <c r="S132" s="129"/>
      <c r="T132" s="131">
        <f>SUM(T133:T162)</f>
        <v>2.3793075000000004</v>
      </c>
      <c r="AR132" s="125" t="s">
        <v>83</v>
      </c>
      <c r="AT132" s="132" t="s">
        <v>74</v>
      </c>
      <c r="AU132" s="132" t="s">
        <v>83</v>
      </c>
      <c r="AY132" s="125" t="s">
        <v>144</v>
      </c>
      <c r="BK132" s="133">
        <f>SUM(BK133:BK162)</f>
        <v>0</v>
      </c>
    </row>
    <row r="133" spans="1:65" s="2" customFormat="1" ht="24.2" customHeight="1">
      <c r="A133" s="31"/>
      <c r="B133" s="136"/>
      <c r="C133" s="137" t="s">
        <v>198</v>
      </c>
      <c r="D133" s="137" t="s">
        <v>147</v>
      </c>
      <c r="E133" s="138" t="s">
        <v>923</v>
      </c>
      <c r="F133" s="139" t="s">
        <v>924</v>
      </c>
      <c r="G133" s="140" t="s">
        <v>150</v>
      </c>
      <c r="H133" s="141">
        <v>0.15</v>
      </c>
      <c r="I133" s="142"/>
      <c r="J133" s="142">
        <f>ROUND(I133*H133,2)</f>
        <v>0</v>
      </c>
      <c r="K133" s="139" t="s">
        <v>157</v>
      </c>
      <c r="L133" s="32"/>
      <c r="M133" s="143" t="s">
        <v>3</v>
      </c>
      <c r="N133" s="144" t="s">
        <v>46</v>
      </c>
      <c r="O133" s="145">
        <v>11.731</v>
      </c>
      <c r="P133" s="145">
        <f>O133*H133</f>
        <v>1.75965</v>
      </c>
      <c r="Q133" s="145">
        <v>0</v>
      </c>
      <c r="R133" s="145">
        <f>Q133*H133</f>
        <v>0</v>
      </c>
      <c r="S133" s="145">
        <v>2.2</v>
      </c>
      <c r="T133" s="146">
        <f>S133*H133</f>
        <v>0.33</v>
      </c>
      <c r="U133" s="31"/>
      <c r="V133" s="31"/>
      <c r="W133" s="31"/>
      <c r="X133" s="31"/>
      <c r="Y133" s="31"/>
      <c r="Z133" s="31"/>
      <c r="AA133" s="31"/>
      <c r="AB133" s="31"/>
      <c r="AC133" s="31"/>
      <c r="AD133" s="31"/>
      <c r="AE133" s="31"/>
      <c r="AR133" s="147" t="s">
        <v>152</v>
      </c>
      <c r="AT133" s="147" t="s">
        <v>147</v>
      </c>
      <c r="AU133" s="147" t="s">
        <v>85</v>
      </c>
      <c r="AY133" s="19" t="s">
        <v>144</v>
      </c>
      <c r="BE133" s="148">
        <f>IF(N133="základní",J133,0)</f>
        <v>0</v>
      </c>
      <c r="BF133" s="148">
        <f>IF(N133="snížená",J133,0)</f>
        <v>0</v>
      </c>
      <c r="BG133" s="148">
        <f>IF(N133="zákl. přenesená",J133,0)</f>
        <v>0</v>
      </c>
      <c r="BH133" s="148">
        <f>IF(N133="sníž. přenesená",J133,0)</f>
        <v>0</v>
      </c>
      <c r="BI133" s="148">
        <f>IF(N133="nulová",J133,0)</f>
        <v>0</v>
      </c>
      <c r="BJ133" s="19" t="s">
        <v>83</v>
      </c>
      <c r="BK133" s="148">
        <f>ROUND(I133*H133,2)</f>
        <v>0</v>
      </c>
      <c r="BL133" s="19" t="s">
        <v>152</v>
      </c>
      <c r="BM133" s="147" t="s">
        <v>925</v>
      </c>
    </row>
    <row r="134" spans="2:51" s="13" customFormat="1" ht="12">
      <c r="B134" s="149"/>
      <c r="D134" s="150" t="s">
        <v>154</v>
      </c>
      <c r="E134" s="151" t="s">
        <v>3</v>
      </c>
      <c r="F134" s="152" t="s">
        <v>926</v>
      </c>
      <c r="H134" s="151" t="s">
        <v>3</v>
      </c>
      <c r="L134" s="149"/>
      <c r="M134" s="153"/>
      <c r="N134" s="154"/>
      <c r="O134" s="154"/>
      <c r="P134" s="154"/>
      <c r="Q134" s="154"/>
      <c r="R134" s="154"/>
      <c r="S134" s="154"/>
      <c r="T134" s="155"/>
      <c r="AT134" s="151" t="s">
        <v>154</v>
      </c>
      <c r="AU134" s="151" t="s">
        <v>85</v>
      </c>
      <c r="AV134" s="13" t="s">
        <v>83</v>
      </c>
      <c r="AW134" s="13" t="s">
        <v>37</v>
      </c>
      <c r="AX134" s="13" t="s">
        <v>75</v>
      </c>
      <c r="AY134" s="151" t="s">
        <v>144</v>
      </c>
    </row>
    <row r="135" spans="2:51" s="14" customFormat="1" ht="12">
      <c r="B135" s="156"/>
      <c r="D135" s="150" t="s">
        <v>154</v>
      </c>
      <c r="E135" s="157" t="s">
        <v>3</v>
      </c>
      <c r="F135" s="158" t="s">
        <v>927</v>
      </c>
      <c r="H135" s="159">
        <v>0.15</v>
      </c>
      <c r="L135" s="156"/>
      <c r="M135" s="160"/>
      <c r="N135" s="161"/>
      <c r="O135" s="161"/>
      <c r="P135" s="161"/>
      <c r="Q135" s="161"/>
      <c r="R135" s="161"/>
      <c r="S135" s="161"/>
      <c r="T135" s="162"/>
      <c r="AT135" s="157" t="s">
        <v>154</v>
      </c>
      <c r="AU135" s="157" t="s">
        <v>85</v>
      </c>
      <c r="AV135" s="14" t="s">
        <v>85</v>
      </c>
      <c r="AW135" s="14" t="s">
        <v>37</v>
      </c>
      <c r="AX135" s="14" t="s">
        <v>83</v>
      </c>
      <c r="AY135" s="157" t="s">
        <v>144</v>
      </c>
    </row>
    <row r="136" spans="1:65" s="2" customFormat="1" ht="24.2" customHeight="1">
      <c r="A136" s="31"/>
      <c r="B136" s="136"/>
      <c r="C136" s="137" t="s">
        <v>204</v>
      </c>
      <c r="D136" s="137" t="s">
        <v>147</v>
      </c>
      <c r="E136" s="138" t="s">
        <v>928</v>
      </c>
      <c r="F136" s="139" t="s">
        <v>929</v>
      </c>
      <c r="G136" s="140" t="s">
        <v>150</v>
      </c>
      <c r="H136" s="141">
        <f>H138</f>
        <v>0.4875</v>
      </c>
      <c r="I136" s="142"/>
      <c r="J136" s="142">
        <f>ROUND(I136*H136,2)</f>
        <v>0</v>
      </c>
      <c r="K136" s="139" t="s">
        <v>157</v>
      </c>
      <c r="L136" s="32"/>
      <c r="M136" s="143" t="s">
        <v>3</v>
      </c>
      <c r="N136" s="144" t="s">
        <v>46</v>
      </c>
      <c r="O136" s="145">
        <v>10.773</v>
      </c>
      <c r="P136" s="145">
        <f>O136*H136</f>
        <v>5.2518375</v>
      </c>
      <c r="Q136" s="145">
        <v>0</v>
      </c>
      <c r="R136" s="145">
        <f>Q136*H136</f>
        <v>0</v>
      </c>
      <c r="S136" s="145">
        <v>2.2</v>
      </c>
      <c r="T136" s="146">
        <f>S136*H136</f>
        <v>1.0725</v>
      </c>
      <c r="U136" s="31"/>
      <c r="V136" s="31"/>
      <c r="W136" s="31"/>
      <c r="X136" s="31"/>
      <c r="Y136" s="31"/>
      <c r="Z136" s="31"/>
      <c r="AA136" s="31"/>
      <c r="AB136" s="31"/>
      <c r="AC136" s="31"/>
      <c r="AD136" s="31"/>
      <c r="AE136" s="31"/>
      <c r="AR136" s="147" t="s">
        <v>152</v>
      </c>
      <c r="AT136" s="147" t="s">
        <v>147</v>
      </c>
      <c r="AU136" s="147" t="s">
        <v>85</v>
      </c>
      <c r="AY136" s="19" t="s">
        <v>144</v>
      </c>
      <c r="BE136" s="148">
        <f>IF(N136="základní",J136,0)</f>
        <v>0</v>
      </c>
      <c r="BF136" s="148">
        <f>IF(N136="snížená",J136,0)</f>
        <v>0</v>
      </c>
      <c r="BG136" s="148">
        <f>IF(N136="zákl. přenesená",J136,0)</f>
        <v>0</v>
      </c>
      <c r="BH136" s="148">
        <f>IF(N136="sníž. přenesená",J136,0)</f>
        <v>0</v>
      </c>
      <c r="BI136" s="148">
        <f>IF(N136="nulová",J136,0)</f>
        <v>0</v>
      </c>
      <c r="BJ136" s="19" t="s">
        <v>83</v>
      </c>
      <c r="BK136" s="148">
        <f>ROUND(I136*H136,2)</f>
        <v>0</v>
      </c>
      <c r="BL136" s="19" t="s">
        <v>152</v>
      </c>
      <c r="BM136" s="147" t="s">
        <v>930</v>
      </c>
    </row>
    <row r="137" spans="2:51" s="13" customFormat="1" ht="12">
      <c r="B137" s="149"/>
      <c r="D137" s="150" t="s">
        <v>154</v>
      </c>
      <c r="E137" s="151" t="s">
        <v>3</v>
      </c>
      <c r="F137" s="152" t="s">
        <v>926</v>
      </c>
      <c r="H137" s="151" t="s">
        <v>3</v>
      </c>
      <c r="L137" s="149"/>
      <c r="M137" s="153"/>
      <c r="N137" s="154"/>
      <c r="O137" s="154"/>
      <c r="P137" s="154"/>
      <c r="Q137" s="154"/>
      <c r="R137" s="154"/>
      <c r="S137" s="154"/>
      <c r="T137" s="155"/>
      <c r="AT137" s="151" t="s">
        <v>154</v>
      </c>
      <c r="AU137" s="151" t="s">
        <v>85</v>
      </c>
      <c r="AV137" s="13" t="s">
        <v>83</v>
      </c>
      <c r="AW137" s="13" t="s">
        <v>37</v>
      </c>
      <c r="AX137" s="13" t="s">
        <v>75</v>
      </c>
      <c r="AY137" s="151" t="s">
        <v>144</v>
      </c>
    </row>
    <row r="138" spans="2:51" s="14" customFormat="1" ht="12">
      <c r="B138" s="156"/>
      <c r="D138" s="150" t="s">
        <v>154</v>
      </c>
      <c r="E138" s="157" t="s">
        <v>3</v>
      </c>
      <c r="F138" s="158" t="s">
        <v>1836</v>
      </c>
      <c r="H138" s="159">
        <f>(4+2.5)*0.5*0.15</f>
        <v>0.4875</v>
      </c>
      <c r="L138" s="156"/>
      <c r="M138" s="160"/>
      <c r="N138" s="161"/>
      <c r="O138" s="161"/>
      <c r="P138" s="161"/>
      <c r="Q138" s="161"/>
      <c r="R138" s="161"/>
      <c r="S138" s="161"/>
      <c r="T138" s="162"/>
      <c r="AT138" s="157" t="s">
        <v>154</v>
      </c>
      <c r="AU138" s="157" t="s">
        <v>85</v>
      </c>
      <c r="AV138" s="14" t="s">
        <v>85</v>
      </c>
      <c r="AW138" s="14" t="s">
        <v>37</v>
      </c>
      <c r="AX138" s="14" t="s">
        <v>83</v>
      </c>
      <c r="AY138" s="157" t="s">
        <v>144</v>
      </c>
    </row>
    <row r="139" spans="1:65" s="2" customFormat="1" ht="37.9" customHeight="1">
      <c r="A139" s="31"/>
      <c r="B139" s="136"/>
      <c r="C139" s="137" t="s">
        <v>209</v>
      </c>
      <c r="D139" s="137" t="s">
        <v>147</v>
      </c>
      <c r="E139" s="138" t="s">
        <v>931</v>
      </c>
      <c r="F139" s="139" t="s">
        <v>932</v>
      </c>
      <c r="G139" s="140" t="s">
        <v>150</v>
      </c>
      <c r="H139" s="141">
        <f>H141</f>
        <v>0.6375</v>
      </c>
      <c r="I139" s="142"/>
      <c r="J139" s="142">
        <f>ROUND(I139*H139,2)</f>
        <v>0</v>
      </c>
      <c r="K139" s="139" t="s">
        <v>157</v>
      </c>
      <c r="L139" s="32"/>
      <c r="M139" s="143" t="s">
        <v>3</v>
      </c>
      <c r="N139" s="144" t="s">
        <v>46</v>
      </c>
      <c r="O139" s="145">
        <v>4.029</v>
      </c>
      <c r="P139" s="145">
        <f>O139*H139</f>
        <v>2.5684875</v>
      </c>
      <c r="Q139" s="145">
        <v>0</v>
      </c>
      <c r="R139" s="145">
        <f>Q139*H139</f>
        <v>0</v>
      </c>
      <c r="S139" s="145">
        <v>0.029</v>
      </c>
      <c r="T139" s="146">
        <f>S139*H139</f>
        <v>0.0184875</v>
      </c>
      <c r="U139" s="31"/>
      <c r="V139" s="31"/>
      <c r="W139" s="31"/>
      <c r="X139" s="31"/>
      <c r="Y139" s="31"/>
      <c r="Z139" s="31"/>
      <c r="AA139" s="31"/>
      <c r="AB139" s="31"/>
      <c r="AC139" s="31"/>
      <c r="AD139" s="31"/>
      <c r="AE139" s="31"/>
      <c r="AR139" s="147" t="s">
        <v>152</v>
      </c>
      <c r="AT139" s="147" t="s">
        <v>147</v>
      </c>
      <c r="AU139" s="147" t="s">
        <v>85</v>
      </c>
      <c r="AY139" s="19" t="s">
        <v>144</v>
      </c>
      <c r="BE139" s="148">
        <f>IF(N139="základní",J139,0)</f>
        <v>0</v>
      </c>
      <c r="BF139" s="148">
        <f>IF(N139="snížená",J139,0)</f>
        <v>0</v>
      </c>
      <c r="BG139" s="148">
        <f>IF(N139="zákl. přenesená",J139,0)</f>
        <v>0</v>
      </c>
      <c r="BH139" s="148">
        <f>IF(N139="sníž. přenesená",J139,0)</f>
        <v>0</v>
      </c>
      <c r="BI139" s="148">
        <f>IF(N139="nulová",J139,0)</f>
        <v>0</v>
      </c>
      <c r="BJ139" s="19" t="s">
        <v>83</v>
      </c>
      <c r="BK139" s="148">
        <f>ROUND(I139*H139,2)</f>
        <v>0</v>
      </c>
      <c r="BL139" s="19" t="s">
        <v>152</v>
      </c>
      <c r="BM139" s="147" t="s">
        <v>933</v>
      </c>
    </row>
    <row r="140" spans="2:51" s="13" customFormat="1" ht="12">
      <c r="B140" s="149"/>
      <c r="D140" s="150" t="s">
        <v>154</v>
      </c>
      <c r="E140" s="151" t="s">
        <v>3</v>
      </c>
      <c r="F140" s="152" t="s">
        <v>216</v>
      </c>
      <c r="H140" s="151" t="s">
        <v>3</v>
      </c>
      <c r="L140" s="149"/>
      <c r="M140" s="153"/>
      <c r="N140" s="154"/>
      <c r="O140" s="154"/>
      <c r="P140" s="154"/>
      <c r="Q140" s="154"/>
      <c r="R140" s="154"/>
      <c r="S140" s="154"/>
      <c r="T140" s="155"/>
      <c r="AT140" s="151" t="s">
        <v>154</v>
      </c>
      <c r="AU140" s="151" t="s">
        <v>85</v>
      </c>
      <c r="AV140" s="13" t="s">
        <v>83</v>
      </c>
      <c r="AW140" s="13" t="s">
        <v>37</v>
      </c>
      <c r="AX140" s="13" t="s">
        <v>75</v>
      </c>
      <c r="AY140" s="151" t="s">
        <v>144</v>
      </c>
    </row>
    <row r="141" spans="2:51" s="14" customFormat="1" ht="12">
      <c r="B141" s="156"/>
      <c r="D141" s="150" t="s">
        <v>154</v>
      </c>
      <c r="E141" s="157" t="s">
        <v>3</v>
      </c>
      <c r="F141" s="158" t="s">
        <v>1837</v>
      </c>
      <c r="H141" s="159">
        <f>H133+H136</f>
        <v>0.6375</v>
      </c>
      <c r="L141" s="156"/>
      <c r="M141" s="160"/>
      <c r="N141" s="161"/>
      <c r="O141" s="161"/>
      <c r="P141" s="161"/>
      <c r="Q141" s="161"/>
      <c r="R141" s="161"/>
      <c r="S141" s="161"/>
      <c r="T141" s="162"/>
      <c r="AT141" s="157" t="s">
        <v>154</v>
      </c>
      <c r="AU141" s="157" t="s">
        <v>85</v>
      </c>
      <c r="AV141" s="14" t="s">
        <v>85</v>
      </c>
      <c r="AW141" s="14" t="s">
        <v>37</v>
      </c>
      <c r="AX141" s="14" t="s">
        <v>83</v>
      </c>
      <c r="AY141" s="157" t="s">
        <v>144</v>
      </c>
    </row>
    <row r="142" spans="1:65" s="2" customFormat="1" ht="49.15" customHeight="1">
      <c r="A142" s="31"/>
      <c r="B142" s="136"/>
      <c r="C142" s="137" t="s">
        <v>9</v>
      </c>
      <c r="D142" s="137" t="s">
        <v>147</v>
      </c>
      <c r="E142" s="138" t="s">
        <v>934</v>
      </c>
      <c r="F142" s="139" t="s">
        <v>935</v>
      </c>
      <c r="G142" s="140" t="s">
        <v>156</v>
      </c>
      <c r="H142" s="141">
        <v>14</v>
      </c>
      <c r="I142" s="142"/>
      <c r="J142" s="142">
        <f>ROUND(I142*H142,2)</f>
        <v>0</v>
      </c>
      <c r="K142" s="139" t="s">
        <v>157</v>
      </c>
      <c r="L142" s="32"/>
      <c r="M142" s="143" t="s">
        <v>3</v>
      </c>
      <c r="N142" s="144" t="s">
        <v>46</v>
      </c>
      <c r="O142" s="145">
        <v>0.16</v>
      </c>
      <c r="P142" s="145">
        <f>O142*H142</f>
        <v>2.24</v>
      </c>
      <c r="Q142" s="145">
        <v>0</v>
      </c>
      <c r="R142" s="145">
        <f>Q142*H142</f>
        <v>0</v>
      </c>
      <c r="S142" s="145">
        <v>0.004</v>
      </c>
      <c r="T142" s="146">
        <f>S142*H142</f>
        <v>0.056</v>
      </c>
      <c r="U142" s="31"/>
      <c r="V142" s="31"/>
      <c r="W142" s="31"/>
      <c r="X142" s="31"/>
      <c r="Y142" s="31"/>
      <c r="Z142" s="31"/>
      <c r="AA142" s="31"/>
      <c r="AB142" s="31"/>
      <c r="AC142" s="31"/>
      <c r="AD142" s="31"/>
      <c r="AE142" s="31"/>
      <c r="AR142" s="147" t="s">
        <v>152</v>
      </c>
      <c r="AT142" s="147" t="s">
        <v>147</v>
      </c>
      <c r="AU142" s="147" t="s">
        <v>85</v>
      </c>
      <c r="AY142" s="19" t="s">
        <v>144</v>
      </c>
      <c r="BE142" s="148">
        <f>IF(N142="základní",J142,0)</f>
        <v>0</v>
      </c>
      <c r="BF142" s="148">
        <f>IF(N142="snížená",J142,0)</f>
        <v>0</v>
      </c>
      <c r="BG142" s="148">
        <f>IF(N142="zákl. přenesená",J142,0)</f>
        <v>0</v>
      </c>
      <c r="BH142" s="148">
        <f>IF(N142="sníž. přenesená",J142,0)</f>
        <v>0</v>
      </c>
      <c r="BI142" s="148">
        <f>IF(N142="nulová",J142,0)</f>
        <v>0</v>
      </c>
      <c r="BJ142" s="19" t="s">
        <v>83</v>
      </c>
      <c r="BK142" s="148">
        <f>ROUND(I142*H142,2)</f>
        <v>0</v>
      </c>
      <c r="BL142" s="19" t="s">
        <v>152</v>
      </c>
      <c r="BM142" s="147" t="s">
        <v>936</v>
      </c>
    </row>
    <row r="143" spans="2:51" s="13" customFormat="1" ht="12">
      <c r="B143" s="149"/>
      <c r="D143" s="150" t="s">
        <v>154</v>
      </c>
      <c r="E143" s="151" t="s">
        <v>3</v>
      </c>
      <c r="F143" s="152" t="s">
        <v>900</v>
      </c>
      <c r="H143" s="151" t="s">
        <v>3</v>
      </c>
      <c r="L143" s="149"/>
      <c r="M143" s="153"/>
      <c r="N143" s="154"/>
      <c r="O143" s="154"/>
      <c r="P143" s="154"/>
      <c r="Q143" s="154"/>
      <c r="R143" s="154"/>
      <c r="S143" s="154"/>
      <c r="T143" s="155"/>
      <c r="AT143" s="151" t="s">
        <v>154</v>
      </c>
      <c r="AU143" s="151" t="s">
        <v>85</v>
      </c>
      <c r="AV143" s="13" t="s">
        <v>83</v>
      </c>
      <c r="AW143" s="13" t="s">
        <v>37</v>
      </c>
      <c r="AX143" s="13" t="s">
        <v>75</v>
      </c>
      <c r="AY143" s="151" t="s">
        <v>144</v>
      </c>
    </row>
    <row r="144" spans="2:51" s="14" customFormat="1" ht="12">
      <c r="B144" s="156"/>
      <c r="D144" s="150" t="s">
        <v>154</v>
      </c>
      <c r="E144" s="157" t="s">
        <v>3</v>
      </c>
      <c r="F144" s="158">
        <v>14</v>
      </c>
      <c r="H144" s="159">
        <v>14</v>
      </c>
      <c r="L144" s="156"/>
      <c r="M144" s="160"/>
      <c r="N144" s="161"/>
      <c r="O144" s="161"/>
      <c r="P144" s="161"/>
      <c r="Q144" s="161"/>
      <c r="R144" s="161"/>
      <c r="S144" s="161"/>
      <c r="T144" s="162"/>
      <c r="AT144" s="157" t="s">
        <v>154</v>
      </c>
      <c r="AU144" s="157" t="s">
        <v>85</v>
      </c>
      <c r="AV144" s="14" t="s">
        <v>85</v>
      </c>
      <c r="AW144" s="14" t="s">
        <v>37</v>
      </c>
      <c r="AX144" s="14" t="s">
        <v>83</v>
      </c>
      <c r="AY144" s="157" t="s">
        <v>144</v>
      </c>
    </row>
    <row r="145" spans="1:65" s="2" customFormat="1" ht="49.15" customHeight="1">
      <c r="A145" s="31"/>
      <c r="B145" s="136"/>
      <c r="C145" s="137" t="s">
        <v>218</v>
      </c>
      <c r="D145" s="137" t="s">
        <v>147</v>
      </c>
      <c r="E145" s="138" t="s">
        <v>937</v>
      </c>
      <c r="F145" s="139" t="s">
        <v>938</v>
      </c>
      <c r="G145" s="140" t="s">
        <v>156</v>
      </c>
      <c r="H145" s="141">
        <v>2</v>
      </c>
      <c r="I145" s="142"/>
      <c r="J145" s="142">
        <f>ROUND(I145*H145,2)</f>
        <v>0</v>
      </c>
      <c r="K145" s="139" t="s">
        <v>157</v>
      </c>
      <c r="L145" s="32"/>
      <c r="M145" s="143" t="s">
        <v>3</v>
      </c>
      <c r="N145" s="144" t="s">
        <v>46</v>
      </c>
      <c r="O145" s="145">
        <v>0.614</v>
      </c>
      <c r="P145" s="145">
        <f>O145*H145</f>
        <v>1.228</v>
      </c>
      <c r="Q145" s="145">
        <v>0</v>
      </c>
      <c r="R145" s="145">
        <f>Q145*H145</f>
        <v>0</v>
      </c>
      <c r="S145" s="145">
        <v>0.012</v>
      </c>
      <c r="T145" s="146">
        <f>S145*H145</f>
        <v>0.024</v>
      </c>
      <c r="U145" s="31"/>
      <c r="V145" s="31"/>
      <c r="W145" s="31"/>
      <c r="X145" s="31"/>
      <c r="Y145" s="31"/>
      <c r="Z145" s="31"/>
      <c r="AA145" s="31"/>
      <c r="AB145" s="31"/>
      <c r="AC145" s="31"/>
      <c r="AD145" s="31"/>
      <c r="AE145" s="31"/>
      <c r="AR145" s="147" t="s">
        <v>152</v>
      </c>
      <c r="AT145" s="147" t="s">
        <v>147</v>
      </c>
      <c r="AU145" s="147" t="s">
        <v>85</v>
      </c>
      <c r="AY145" s="19" t="s">
        <v>144</v>
      </c>
      <c r="BE145" s="148">
        <f>IF(N145="základní",J145,0)</f>
        <v>0</v>
      </c>
      <c r="BF145" s="148">
        <f>IF(N145="snížená",J145,0)</f>
        <v>0</v>
      </c>
      <c r="BG145" s="148">
        <f>IF(N145="zákl. přenesená",J145,0)</f>
        <v>0</v>
      </c>
      <c r="BH145" s="148">
        <f>IF(N145="sníž. přenesená",J145,0)</f>
        <v>0</v>
      </c>
      <c r="BI145" s="148">
        <f>IF(N145="nulová",J145,0)</f>
        <v>0</v>
      </c>
      <c r="BJ145" s="19" t="s">
        <v>83</v>
      </c>
      <c r="BK145" s="148">
        <f>ROUND(I145*H145,2)</f>
        <v>0</v>
      </c>
      <c r="BL145" s="19" t="s">
        <v>152</v>
      </c>
      <c r="BM145" s="147" t="s">
        <v>939</v>
      </c>
    </row>
    <row r="146" spans="2:51" s="13" customFormat="1" ht="12">
      <c r="B146" s="149"/>
      <c r="D146" s="150" t="s">
        <v>154</v>
      </c>
      <c r="E146" s="151" t="s">
        <v>3</v>
      </c>
      <c r="F146" s="152" t="s">
        <v>900</v>
      </c>
      <c r="H146" s="151" t="s">
        <v>3</v>
      </c>
      <c r="L146" s="149"/>
      <c r="M146" s="153"/>
      <c r="N146" s="154"/>
      <c r="O146" s="154"/>
      <c r="P146" s="154"/>
      <c r="Q146" s="154"/>
      <c r="R146" s="154"/>
      <c r="S146" s="154"/>
      <c r="T146" s="155"/>
      <c r="AT146" s="151" t="s">
        <v>154</v>
      </c>
      <c r="AU146" s="151" t="s">
        <v>85</v>
      </c>
      <c r="AV146" s="13" t="s">
        <v>83</v>
      </c>
      <c r="AW146" s="13" t="s">
        <v>37</v>
      </c>
      <c r="AX146" s="13" t="s">
        <v>75</v>
      </c>
      <c r="AY146" s="151" t="s">
        <v>144</v>
      </c>
    </row>
    <row r="147" spans="2:51" s="14" customFormat="1" ht="12">
      <c r="B147" s="156"/>
      <c r="D147" s="150" t="s">
        <v>154</v>
      </c>
      <c r="E147" s="157" t="s">
        <v>3</v>
      </c>
      <c r="F147" s="158" t="s">
        <v>85</v>
      </c>
      <c r="H147" s="159">
        <v>2</v>
      </c>
      <c r="L147" s="156"/>
      <c r="M147" s="160"/>
      <c r="N147" s="161"/>
      <c r="O147" s="161"/>
      <c r="P147" s="161"/>
      <c r="Q147" s="161"/>
      <c r="R147" s="161"/>
      <c r="S147" s="161"/>
      <c r="T147" s="162"/>
      <c r="AT147" s="157" t="s">
        <v>154</v>
      </c>
      <c r="AU147" s="157" t="s">
        <v>85</v>
      </c>
      <c r="AV147" s="14" t="s">
        <v>85</v>
      </c>
      <c r="AW147" s="14" t="s">
        <v>37</v>
      </c>
      <c r="AX147" s="14" t="s">
        <v>83</v>
      </c>
      <c r="AY147" s="157" t="s">
        <v>144</v>
      </c>
    </row>
    <row r="148" spans="1:65" s="2" customFormat="1" ht="37.9" customHeight="1">
      <c r="A148" s="31"/>
      <c r="B148" s="136"/>
      <c r="C148" s="137" t="s">
        <v>222</v>
      </c>
      <c r="D148" s="137" t="s">
        <v>147</v>
      </c>
      <c r="E148" s="138" t="s">
        <v>940</v>
      </c>
      <c r="F148" s="139" t="s">
        <v>941</v>
      </c>
      <c r="G148" s="140" t="s">
        <v>156</v>
      </c>
      <c r="H148" s="141">
        <v>5</v>
      </c>
      <c r="I148" s="142"/>
      <c r="J148" s="142">
        <f>ROUND(I148*H148,2)</f>
        <v>0</v>
      </c>
      <c r="K148" s="139" t="s">
        <v>157</v>
      </c>
      <c r="L148" s="32"/>
      <c r="M148" s="143" t="s">
        <v>3</v>
      </c>
      <c r="N148" s="144" t="s">
        <v>46</v>
      </c>
      <c r="O148" s="145">
        <v>0.512</v>
      </c>
      <c r="P148" s="145">
        <f>O148*H148</f>
        <v>2.56</v>
      </c>
      <c r="Q148" s="145">
        <v>0</v>
      </c>
      <c r="R148" s="145">
        <f>Q148*H148</f>
        <v>0</v>
      </c>
      <c r="S148" s="145">
        <v>0.008</v>
      </c>
      <c r="T148" s="146">
        <f>S148*H148</f>
        <v>0.04</v>
      </c>
      <c r="U148" s="31"/>
      <c r="V148" s="31"/>
      <c r="W148" s="31"/>
      <c r="X148" s="31"/>
      <c r="Y148" s="31"/>
      <c r="Z148" s="31"/>
      <c r="AA148" s="31"/>
      <c r="AB148" s="31"/>
      <c r="AC148" s="31"/>
      <c r="AD148" s="31"/>
      <c r="AE148" s="31"/>
      <c r="AR148" s="147" t="s">
        <v>152</v>
      </c>
      <c r="AT148" s="147" t="s">
        <v>147</v>
      </c>
      <c r="AU148" s="147" t="s">
        <v>85</v>
      </c>
      <c r="AY148" s="19" t="s">
        <v>144</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152</v>
      </c>
      <c r="BM148" s="147" t="s">
        <v>942</v>
      </c>
    </row>
    <row r="149" spans="2:51" s="13" customFormat="1" ht="12">
      <c r="B149" s="149"/>
      <c r="D149" s="150" t="s">
        <v>154</v>
      </c>
      <c r="E149" s="151" t="s">
        <v>3</v>
      </c>
      <c r="F149" s="152" t="s">
        <v>900</v>
      </c>
      <c r="H149" s="151" t="s">
        <v>3</v>
      </c>
      <c r="L149" s="149"/>
      <c r="M149" s="153"/>
      <c r="N149" s="154"/>
      <c r="O149" s="154"/>
      <c r="P149" s="154"/>
      <c r="Q149" s="154"/>
      <c r="R149" s="154"/>
      <c r="S149" s="154"/>
      <c r="T149" s="155"/>
      <c r="AT149" s="151" t="s">
        <v>154</v>
      </c>
      <c r="AU149" s="151" t="s">
        <v>85</v>
      </c>
      <c r="AV149" s="13" t="s">
        <v>83</v>
      </c>
      <c r="AW149" s="13" t="s">
        <v>37</v>
      </c>
      <c r="AX149" s="13" t="s">
        <v>75</v>
      </c>
      <c r="AY149" s="151" t="s">
        <v>144</v>
      </c>
    </row>
    <row r="150" spans="2:51" s="14" customFormat="1" ht="12">
      <c r="B150" s="156"/>
      <c r="D150" s="150" t="s">
        <v>154</v>
      </c>
      <c r="E150" s="157" t="s">
        <v>3</v>
      </c>
      <c r="F150" s="158" t="s">
        <v>1834</v>
      </c>
      <c r="H150" s="159">
        <v>5</v>
      </c>
      <c r="L150" s="156"/>
      <c r="M150" s="160"/>
      <c r="N150" s="161"/>
      <c r="O150" s="161"/>
      <c r="P150" s="161"/>
      <c r="Q150" s="161"/>
      <c r="R150" s="161"/>
      <c r="S150" s="161"/>
      <c r="T150" s="162"/>
      <c r="AT150" s="157" t="s">
        <v>154</v>
      </c>
      <c r="AU150" s="157" t="s">
        <v>85</v>
      </c>
      <c r="AV150" s="14" t="s">
        <v>85</v>
      </c>
      <c r="AW150" s="14" t="s">
        <v>37</v>
      </c>
      <c r="AX150" s="14" t="s">
        <v>83</v>
      </c>
      <c r="AY150" s="157" t="s">
        <v>144</v>
      </c>
    </row>
    <row r="151" spans="1:65" s="2" customFormat="1" ht="37.9" customHeight="1">
      <c r="A151" s="31"/>
      <c r="B151" s="136"/>
      <c r="C151" s="137" t="s">
        <v>223</v>
      </c>
      <c r="D151" s="137" t="s">
        <v>147</v>
      </c>
      <c r="E151" s="138" t="s">
        <v>943</v>
      </c>
      <c r="F151" s="139" t="s">
        <v>944</v>
      </c>
      <c r="G151" s="140" t="s">
        <v>201</v>
      </c>
      <c r="H151" s="141">
        <f>H156</f>
        <v>33.239999999999995</v>
      </c>
      <c r="I151" s="142"/>
      <c r="J151" s="142">
        <f>ROUND(I151*H151,2)</f>
        <v>0</v>
      </c>
      <c r="K151" s="139" t="s">
        <v>157</v>
      </c>
      <c r="L151" s="32"/>
      <c r="M151" s="143" t="s">
        <v>3</v>
      </c>
      <c r="N151" s="144" t="s">
        <v>46</v>
      </c>
      <c r="O151" s="145">
        <v>0.342</v>
      </c>
      <c r="P151" s="145">
        <f>O151*H151</f>
        <v>11.368079999999999</v>
      </c>
      <c r="Q151" s="145">
        <v>0</v>
      </c>
      <c r="R151" s="145">
        <f>Q151*H151</f>
        <v>0</v>
      </c>
      <c r="S151" s="145">
        <v>0.018</v>
      </c>
      <c r="T151" s="146">
        <f>S151*H151</f>
        <v>0.5983199999999999</v>
      </c>
      <c r="U151" s="31"/>
      <c r="V151" s="31"/>
      <c r="W151" s="31"/>
      <c r="X151" s="31"/>
      <c r="Y151" s="31"/>
      <c r="Z151" s="31"/>
      <c r="AA151" s="31"/>
      <c r="AB151" s="31"/>
      <c r="AC151" s="31"/>
      <c r="AD151" s="31"/>
      <c r="AE151" s="31"/>
      <c r="AR151" s="147" t="s">
        <v>152</v>
      </c>
      <c r="AT151" s="147" t="s">
        <v>147</v>
      </c>
      <c r="AU151" s="147" t="s">
        <v>85</v>
      </c>
      <c r="AY151" s="19" t="s">
        <v>144</v>
      </c>
      <c r="BE151" s="148">
        <f>IF(N151="základní",J151,0)</f>
        <v>0</v>
      </c>
      <c r="BF151" s="148">
        <f>IF(N151="snížená",J151,0)</f>
        <v>0</v>
      </c>
      <c r="BG151" s="148">
        <f>IF(N151="zákl. přenesená",J151,0)</f>
        <v>0</v>
      </c>
      <c r="BH151" s="148">
        <f>IF(N151="sníž. přenesená",J151,0)</f>
        <v>0</v>
      </c>
      <c r="BI151" s="148">
        <f>IF(N151="nulová",J151,0)</f>
        <v>0</v>
      </c>
      <c r="BJ151" s="19" t="s">
        <v>83</v>
      </c>
      <c r="BK151" s="148">
        <f>ROUND(I151*H151,2)</f>
        <v>0</v>
      </c>
      <c r="BL151" s="19" t="s">
        <v>152</v>
      </c>
      <c r="BM151" s="147" t="s">
        <v>945</v>
      </c>
    </row>
    <row r="152" spans="2:51" s="13" customFormat="1" ht="12">
      <c r="B152" s="149"/>
      <c r="D152" s="150" t="s">
        <v>154</v>
      </c>
      <c r="E152" s="151" t="s">
        <v>3</v>
      </c>
      <c r="F152" s="152" t="s">
        <v>1840</v>
      </c>
      <c r="H152" s="151" t="s">
        <v>3</v>
      </c>
      <c r="L152" s="149"/>
      <c r="M152" s="153"/>
      <c r="N152" s="154"/>
      <c r="O152" s="154"/>
      <c r="P152" s="154"/>
      <c r="Q152" s="154"/>
      <c r="R152" s="154"/>
      <c r="S152" s="154"/>
      <c r="T152" s="155"/>
      <c r="AT152" s="151" t="s">
        <v>154</v>
      </c>
      <c r="AU152" s="151" t="s">
        <v>85</v>
      </c>
      <c r="AV152" s="13" t="s">
        <v>83</v>
      </c>
      <c r="AW152" s="13" t="s">
        <v>37</v>
      </c>
      <c r="AX152" s="13" t="s">
        <v>75</v>
      </c>
      <c r="AY152" s="151" t="s">
        <v>144</v>
      </c>
    </row>
    <row r="153" spans="2:51" s="14" customFormat="1" ht="22.5">
      <c r="B153" s="156"/>
      <c r="D153" s="150" t="s">
        <v>154</v>
      </c>
      <c r="E153" s="157" t="s">
        <v>3</v>
      </c>
      <c r="F153" s="158" t="s">
        <v>1839</v>
      </c>
      <c r="H153" s="159">
        <f>(1.2+0.6+3.9+0.85+2.85+1.5+1+0.5*2+0.65+0.15+2.75+1.7+1.4)*1.2</f>
        <v>23.459999999999997</v>
      </c>
      <c r="L153" s="156"/>
      <c r="M153" s="160"/>
      <c r="N153" s="161"/>
      <c r="O153" s="161"/>
      <c r="P153" s="161"/>
      <c r="Q153" s="161"/>
      <c r="R153" s="161"/>
      <c r="S153" s="161"/>
      <c r="T153" s="162"/>
      <c r="AT153" s="157" t="s">
        <v>154</v>
      </c>
      <c r="AU153" s="157" t="s">
        <v>85</v>
      </c>
      <c r="AV153" s="14" t="s">
        <v>85</v>
      </c>
      <c r="AW153" s="14" t="s">
        <v>37</v>
      </c>
      <c r="AX153" s="14" t="s">
        <v>83</v>
      </c>
      <c r="AY153" s="157" t="s">
        <v>144</v>
      </c>
    </row>
    <row r="154" spans="2:51" s="13" customFormat="1" ht="12">
      <c r="B154" s="149"/>
      <c r="D154" s="150" t="s">
        <v>154</v>
      </c>
      <c r="E154" s="151" t="s">
        <v>3</v>
      </c>
      <c r="F154" s="152" t="s">
        <v>1841</v>
      </c>
      <c r="H154" s="151" t="s">
        <v>3</v>
      </c>
      <c r="L154" s="149"/>
      <c r="M154" s="153"/>
      <c r="N154" s="154"/>
      <c r="O154" s="154"/>
      <c r="P154" s="154"/>
      <c r="Q154" s="154"/>
      <c r="R154" s="154"/>
      <c r="S154" s="154"/>
      <c r="T154" s="155"/>
      <c r="AT154" s="151" t="s">
        <v>154</v>
      </c>
      <c r="AU154" s="151" t="s">
        <v>85</v>
      </c>
      <c r="AV154" s="13" t="s">
        <v>83</v>
      </c>
      <c r="AW154" s="13" t="s">
        <v>37</v>
      </c>
      <c r="AX154" s="13" t="s">
        <v>75</v>
      </c>
      <c r="AY154" s="151" t="s">
        <v>144</v>
      </c>
    </row>
    <row r="155" spans="2:51" s="14" customFormat="1" ht="12">
      <c r="B155" s="156"/>
      <c r="D155" s="150" t="s">
        <v>154</v>
      </c>
      <c r="E155" s="157" t="s">
        <v>3</v>
      </c>
      <c r="F155" s="158" t="s">
        <v>1838</v>
      </c>
      <c r="H155" s="159">
        <f>(1*2+0.65+0.65+0.35+1.4+1.4+1.7)*1.2</f>
        <v>9.779999999999998</v>
      </c>
      <c r="L155" s="156"/>
      <c r="M155" s="160"/>
      <c r="N155" s="161"/>
      <c r="O155" s="161"/>
      <c r="P155" s="161"/>
      <c r="Q155" s="161"/>
      <c r="R155" s="161"/>
      <c r="S155" s="161"/>
      <c r="T155" s="162"/>
      <c r="AT155" s="157" t="s">
        <v>154</v>
      </c>
      <c r="AU155" s="157" t="s">
        <v>85</v>
      </c>
      <c r="AV155" s="14" t="s">
        <v>85</v>
      </c>
      <c r="AW155" s="14" t="s">
        <v>37</v>
      </c>
      <c r="AX155" s="14" t="s">
        <v>83</v>
      </c>
      <c r="AY155" s="157" t="s">
        <v>144</v>
      </c>
    </row>
    <row r="156" spans="2:51" s="15" customFormat="1" ht="12">
      <c r="B156" s="166"/>
      <c r="D156" s="150" t="s">
        <v>154</v>
      </c>
      <c r="E156" s="167" t="s">
        <v>3</v>
      </c>
      <c r="F156" s="168" t="s">
        <v>161</v>
      </c>
      <c r="H156" s="169">
        <f>H153+H155</f>
        <v>33.239999999999995</v>
      </c>
      <c r="L156" s="166"/>
      <c r="M156" s="170"/>
      <c r="N156" s="171"/>
      <c r="O156" s="171"/>
      <c r="P156" s="171"/>
      <c r="Q156" s="171"/>
      <c r="R156" s="171"/>
      <c r="S156" s="171"/>
      <c r="T156" s="172"/>
      <c r="AT156" s="167" t="s">
        <v>154</v>
      </c>
      <c r="AU156" s="167" t="s">
        <v>85</v>
      </c>
      <c r="AV156" s="15" t="s">
        <v>152</v>
      </c>
      <c r="AW156" s="15" t="s">
        <v>37</v>
      </c>
      <c r="AX156" s="15" t="s">
        <v>83</v>
      </c>
      <c r="AY156" s="167" t="s">
        <v>144</v>
      </c>
    </row>
    <row r="157" spans="1:65" s="2" customFormat="1" ht="37.9" customHeight="1">
      <c r="A157" s="31"/>
      <c r="B157" s="136"/>
      <c r="C157" s="137" t="s">
        <v>224</v>
      </c>
      <c r="D157" s="137" t="s">
        <v>147</v>
      </c>
      <c r="E157" s="138" t="s">
        <v>946</v>
      </c>
      <c r="F157" s="139" t="s">
        <v>947</v>
      </c>
      <c r="G157" s="140" t="s">
        <v>201</v>
      </c>
      <c r="H157" s="141">
        <f>H159</f>
        <v>6</v>
      </c>
      <c r="I157" s="142"/>
      <c r="J157" s="142">
        <f>ROUND(I157*H157,2)</f>
        <v>0</v>
      </c>
      <c r="K157" s="139" t="s">
        <v>157</v>
      </c>
      <c r="L157" s="32"/>
      <c r="M157" s="143" t="s">
        <v>3</v>
      </c>
      <c r="N157" s="144" t="s">
        <v>46</v>
      </c>
      <c r="O157" s="145">
        <v>0.668</v>
      </c>
      <c r="P157" s="145">
        <f>O157*H157</f>
        <v>4.008</v>
      </c>
      <c r="Q157" s="145">
        <v>0</v>
      </c>
      <c r="R157" s="145">
        <f>Q157*H157</f>
        <v>0</v>
      </c>
      <c r="S157" s="145">
        <v>0.04</v>
      </c>
      <c r="T157" s="146">
        <f>S157*H157</f>
        <v>0.24</v>
      </c>
      <c r="U157" s="31"/>
      <c r="V157" s="31"/>
      <c r="W157" s="31"/>
      <c r="X157" s="31"/>
      <c r="Y157" s="31"/>
      <c r="Z157" s="31"/>
      <c r="AA157" s="31"/>
      <c r="AB157" s="31"/>
      <c r="AC157" s="31"/>
      <c r="AD157" s="31"/>
      <c r="AE157" s="31"/>
      <c r="AR157" s="147" t="s">
        <v>152</v>
      </c>
      <c r="AT157" s="147" t="s">
        <v>147</v>
      </c>
      <c r="AU157" s="147" t="s">
        <v>85</v>
      </c>
      <c r="AY157" s="19" t="s">
        <v>144</v>
      </c>
      <c r="BE157" s="148">
        <f>IF(N157="základní",J157,0)</f>
        <v>0</v>
      </c>
      <c r="BF157" s="148">
        <f>IF(N157="snížená",J157,0)</f>
        <v>0</v>
      </c>
      <c r="BG157" s="148">
        <f>IF(N157="zákl. přenesená",J157,0)</f>
        <v>0</v>
      </c>
      <c r="BH157" s="148">
        <f>IF(N157="sníž. přenesená",J157,0)</f>
        <v>0</v>
      </c>
      <c r="BI157" s="148">
        <f>IF(N157="nulová",J157,0)</f>
        <v>0</v>
      </c>
      <c r="BJ157" s="19" t="s">
        <v>83</v>
      </c>
      <c r="BK157" s="148">
        <f>ROUND(I157*H157,2)</f>
        <v>0</v>
      </c>
      <c r="BL157" s="19" t="s">
        <v>152</v>
      </c>
      <c r="BM157" s="147" t="s">
        <v>948</v>
      </c>
    </row>
    <row r="158" spans="2:51" s="13" customFormat="1" ht="12">
      <c r="B158" s="149"/>
      <c r="D158" s="150" t="s">
        <v>154</v>
      </c>
      <c r="E158" s="151" t="s">
        <v>3</v>
      </c>
      <c r="F158" s="152" t="s">
        <v>949</v>
      </c>
      <c r="H158" s="151" t="s">
        <v>3</v>
      </c>
      <c r="L158" s="149"/>
      <c r="M158" s="153"/>
      <c r="N158" s="154"/>
      <c r="O158" s="154"/>
      <c r="P158" s="154"/>
      <c r="Q158" s="154"/>
      <c r="R158" s="154"/>
      <c r="S158" s="154"/>
      <c r="T158" s="155"/>
      <c r="AT158" s="151" t="s">
        <v>154</v>
      </c>
      <c r="AU158" s="151" t="s">
        <v>85</v>
      </c>
      <c r="AV158" s="13" t="s">
        <v>83</v>
      </c>
      <c r="AW158" s="13" t="s">
        <v>37</v>
      </c>
      <c r="AX158" s="13" t="s">
        <v>75</v>
      </c>
      <c r="AY158" s="151" t="s">
        <v>144</v>
      </c>
    </row>
    <row r="159" spans="2:51" s="14" customFormat="1" ht="12">
      <c r="B159" s="156"/>
      <c r="D159" s="150" t="s">
        <v>154</v>
      </c>
      <c r="E159" s="157" t="s">
        <v>3</v>
      </c>
      <c r="F159" s="158">
        <v>6</v>
      </c>
      <c r="H159" s="159">
        <v>6</v>
      </c>
      <c r="L159" s="156"/>
      <c r="M159" s="160"/>
      <c r="N159" s="161"/>
      <c r="O159" s="161"/>
      <c r="P159" s="161"/>
      <c r="Q159" s="161"/>
      <c r="R159" s="161"/>
      <c r="S159" s="161"/>
      <c r="T159" s="162"/>
      <c r="AT159" s="157" t="s">
        <v>154</v>
      </c>
      <c r="AU159" s="157" t="s">
        <v>85</v>
      </c>
      <c r="AV159" s="14" t="s">
        <v>85</v>
      </c>
      <c r="AW159" s="14" t="s">
        <v>37</v>
      </c>
      <c r="AX159" s="14" t="s">
        <v>83</v>
      </c>
      <c r="AY159" s="157" t="s">
        <v>144</v>
      </c>
    </row>
    <row r="160" spans="1:65" s="2" customFormat="1" ht="24.2" customHeight="1">
      <c r="A160" s="31"/>
      <c r="B160" s="136"/>
      <c r="C160" s="137" t="s">
        <v>225</v>
      </c>
      <c r="D160" s="137" t="s">
        <v>147</v>
      </c>
      <c r="E160" s="138" t="s">
        <v>950</v>
      </c>
      <c r="F160" s="139" t="s">
        <v>951</v>
      </c>
      <c r="G160" s="140" t="s">
        <v>201</v>
      </c>
      <c r="H160" s="141">
        <f>H163</f>
        <v>8.5</v>
      </c>
      <c r="I160" s="142"/>
      <c r="J160" s="142">
        <f>ROUND(I160*H160,2)</f>
        <v>0</v>
      </c>
      <c r="K160" s="139" t="s">
        <v>157</v>
      </c>
      <c r="L160" s="32"/>
      <c r="M160" s="143" t="s">
        <v>3</v>
      </c>
      <c r="N160" s="144" t="s">
        <v>46</v>
      </c>
      <c r="O160" s="145">
        <v>0.765</v>
      </c>
      <c r="P160" s="145">
        <f>O160*H160</f>
        <v>6.5025</v>
      </c>
      <c r="Q160" s="145">
        <v>0</v>
      </c>
      <c r="R160" s="145">
        <f>Q160*H160</f>
        <v>0</v>
      </c>
      <c r="S160" s="145">
        <v>0</v>
      </c>
      <c r="T160" s="146">
        <f>S160*H160</f>
        <v>0</v>
      </c>
      <c r="U160" s="31"/>
      <c r="V160" s="31"/>
      <c r="W160" s="31"/>
      <c r="X160" s="31"/>
      <c r="Y160" s="31"/>
      <c r="Z160" s="31"/>
      <c r="AA160" s="31"/>
      <c r="AB160" s="31"/>
      <c r="AC160" s="31"/>
      <c r="AD160" s="31"/>
      <c r="AE160" s="31"/>
      <c r="AR160" s="147" t="s">
        <v>152</v>
      </c>
      <c r="AT160" s="147" t="s">
        <v>147</v>
      </c>
      <c r="AU160" s="147" t="s">
        <v>85</v>
      </c>
      <c r="AY160" s="19" t="s">
        <v>144</v>
      </c>
      <c r="BE160" s="148">
        <f>IF(N160="základní",J160,0)</f>
        <v>0</v>
      </c>
      <c r="BF160" s="148">
        <f>IF(N160="snížená",J160,0)</f>
        <v>0</v>
      </c>
      <c r="BG160" s="148">
        <f>IF(N160="zákl. přenesená",J160,0)</f>
        <v>0</v>
      </c>
      <c r="BH160" s="148">
        <f>IF(N160="sníž. přenesená",J160,0)</f>
        <v>0</v>
      </c>
      <c r="BI160" s="148">
        <f>IF(N160="nulová",J160,0)</f>
        <v>0</v>
      </c>
      <c r="BJ160" s="19" t="s">
        <v>83</v>
      </c>
      <c r="BK160" s="148">
        <f>ROUND(I160*H160,2)</f>
        <v>0</v>
      </c>
      <c r="BL160" s="19" t="s">
        <v>152</v>
      </c>
      <c r="BM160" s="147" t="s">
        <v>952</v>
      </c>
    </row>
    <row r="161" spans="2:51" s="13" customFormat="1" ht="12">
      <c r="B161" s="149"/>
      <c r="D161" s="150" t="s">
        <v>154</v>
      </c>
      <c r="E161" s="151" t="s">
        <v>3</v>
      </c>
      <c r="F161" s="152" t="s">
        <v>926</v>
      </c>
      <c r="H161" s="151" t="s">
        <v>3</v>
      </c>
      <c r="L161" s="149"/>
      <c r="M161" s="153"/>
      <c r="N161" s="154"/>
      <c r="O161" s="154"/>
      <c r="P161" s="154"/>
      <c r="Q161" s="154"/>
      <c r="R161" s="154"/>
      <c r="S161" s="154"/>
      <c r="T161" s="155"/>
      <c r="AT161" s="151" t="s">
        <v>154</v>
      </c>
      <c r="AU161" s="151" t="s">
        <v>85</v>
      </c>
      <c r="AV161" s="13" t="s">
        <v>83</v>
      </c>
      <c r="AW161" s="13" t="s">
        <v>37</v>
      </c>
      <c r="AX161" s="13" t="s">
        <v>75</v>
      </c>
      <c r="AY161" s="151" t="s">
        <v>144</v>
      </c>
    </row>
    <row r="162" spans="2:51" s="14" customFormat="1" ht="12">
      <c r="B162" s="156"/>
      <c r="D162" s="150" t="s">
        <v>154</v>
      </c>
      <c r="E162" s="157" t="s">
        <v>3</v>
      </c>
      <c r="F162" s="158" t="s">
        <v>1842</v>
      </c>
      <c r="H162" s="159"/>
      <c r="L162" s="156"/>
      <c r="M162" s="160"/>
      <c r="N162" s="161"/>
      <c r="O162" s="161"/>
      <c r="P162" s="161"/>
      <c r="Q162" s="161"/>
      <c r="R162" s="161"/>
      <c r="S162" s="161"/>
      <c r="T162" s="162"/>
      <c r="AT162" s="157" t="s">
        <v>154</v>
      </c>
      <c r="AU162" s="157" t="s">
        <v>85</v>
      </c>
      <c r="AV162" s="14" t="s">
        <v>85</v>
      </c>
      <c r="AW162" s="14" t="s">
        <v>37</v>
      </c>
      <c r="AX162" s="14" t="s">
        <v>83</v>
      </c>
      <c r="AY162" s="157" t="s">
        <v>144</v>
      </c>
    </row>
    <row r="163" spans="2:51" s="14" customFormat="1" ht="12">
      <c r="B163" s="156"/>
      <c r="D163" s="150" t="s">
        <v>154</v>
      </c>
      <c r="E163" s="157" t="s">
        <v>3</v>
      </c>
      <c r="F163" s="158" t="s">
        <v>1843</v>
      </c>
      <c r="H163" s="159">
        <f>4+2.5+2</f>
        <v>8.5</v>
      </c>
      <c r="L163" s="156"/>
      <c r="M163" s="160"/>
      <c r="N163" s="161"/>
      <c r="O163" s="161"/>
      <c r="P163" s="161"/>
      <c r="Q163" s="161"/>
      <c r="R163" s="161"/>
      <c r="S163" s="161"/>
      <c r="T163" s="162"/>
      <c r="AT163" s="157" t="s">
        <v>154</v>
      </c>
      <c r="AU163" s="157" t="s">
        <v>85</v>
      </c>
      <c r="AV163" s="14" t="s">
        <v>85</v>
      </c>
      <c r="AW163" s="14" t="s">
        <v>37</v>
      </c>
      <c r="AX163" s="14" t="s">
        <v>83</v>
      </c>
      <c r="AY163" s="157" t="s">
        <v>144</v>
      </c>
    </row>
    <row r="164" spans="2:63" s="12" customFormat="1" ht="22.9" customHeight="1">
      <c r="B164" s="124"/>
      <c r="D164" s="125" t="s">
        <v>74</v>
      </c>
      <c r="E164" s="134" t="s">
        <v>334</v>
      </c>
      <c r="F164" s="134" t="s">
        <v>335</v>
      </c>
      <c r="J164" s="135">
        <f>BK164</f>
        <v>0</v>
      </c>
      <c r="L164" s="124"/>
      <c r="M164" s="128"/>
      <c r="N164" s="129"/>
      <c r="O164" s="129"/>
      <c r="P164" s="130">
        <f>SUM(P165:P177)</f>
        <v>8.041824</v>
      </c>
      <c r="Q164" s="129"/>
      <c r="R164" s="130">
        <f>SUM(R165:R177)</f>
        <v>0</v>
      </c>
      <c r="S164" s="129"/>
      <c r="T164" s="131">
        <f>SUM(T165:T177)</f>
        <v>0</v>
      </c>
      <c r="AR164" s="125" t="s">
        <v>83</v>
      </c>
      <c r="AT164" s="132" t="s">
        <v>74</v>
      </c>
      <c r="AU164" s="132" t="s">
        <v>83</v>
      </c>
      <c r="AY164" s="125" t="s">
        <v>144</v>
      </c>
      <c r="BK164" s="133">
        <f>SUM(BK165:BK177)</f>
        <v>0</v>
      </c>
    </row>
    <row r="165" spans="1:65" s="2" customFormat="1" ht="37.9" customHeight="1">
      <c r="A165" s="31"/>
      <c r="B165" s="136"/>
      <c r="C165" s="137" t="s">
        <v>8</v>
      </c>
      <c r="D165" s="137" t="s">
        <v>147</v>
      </c>
      <c r="E165" s="138" t="s">
        <v>337</v>
      </c>
      <c r="F165" s="139" t="s">
        <v>338</v>
      </c>
      <c r="G165" s="140" t="s">
        <v>170</v>
      </c>
      <c r="H165" s="141">
        <v>2.016</v>
      </c>
      <c r="I165" s="142"/>
      <c r="J165" s="142">
        <f>ROUND(I165*H165,2)</f>
        <v>0</v>
      </c>
      <c r="K165" s="139" t="s">
        <v>157</v>
      </c>
      <c r="L165" s="32"/>
      <c r="M165" s="143" t="s">
        <v>3</v>
      </c>
      <c r="N165" s="144" t="s">
        <v>46</v>
      </c>
      <c r="O165" s="145">
        <v>2.42</v>
      </c>
      <c r="P165" s="145">
        <f>O165*H165</f>
        <v>4.8787199999999995</v>
      </c>
      <c r="Q165" s="145">
        <v>0</v>
      </c>
      <c r="R165" s="145">
        <f>Q165*H165</f>
        <v>0</v>
      </c>
      <c r="S165" s="145">
        <v>0</v>
      </c>
      <c r="T165" s="146">
        <f>S165*H165</f>
        <v>0</v>
      </c>
      <c r="U165" s="31"/>
      <c r="V165" s="31"/>
      <c r="W165" s="31"/>
      <c r="X165" s="31"/>
      <c r="Y165" s="31"/>
      <c r="Z165" s="31"/>
      <c r="AA165" s="31"/>
      <c r="AB165" s="31"/>
      <c r="AC165" s="31"/>
      <c r="AD165" s="31"/>
      <c r="AE165" s="31"/>
      <c r="AR165" s="147" t="s">
        <v>152</v>
      </c>
      <c r="AT165" s="147" t="s">
        <v>147</v>
      </c>
      <c r="AU165" s="147" t="s">
        <v>85</v>
      </c>
      <c r="AY165" s="19" t="s">
        <v>144</v>
      </c>
      <c r="BE165" s="148">
        <f>IF(N165="základní",J165,0)</f>
        <v>0</v>
      </c>
      <c r="BF165" s="148">
        <f>IF(N165="snížená",J165,0)</f>
        <v>0</v>
      </c>
      <c r="BG165" s="148">
        <f>IF(N165="zákl. přenesená",J165,0)</f>
        <v>0</v>
      </c>
      <c r="BH165" s="148">
        <f>IF(N165="sníž. přenesená",J165,0)</f>
        <v>0</v>
      </c>
      <c r="BI165" s="148">
        <f>IF(N165="nulová",J165,0)</f>
        <v>0</v>
      </c>
      <c r="BJ165" s="19" t="s">
        <v>83</v>
      </c>
      <c r="BK165" s="148">
        <f>ROUND(I165*H165,2)</f>
        <v>0</v>
      </c>
      <c r="BL165" s="19" t="s">
        <v>152</v>
      </c>
      <c r="BM165" s="147" t="s">
        <v>953</v>
      </c>
    </row>
    <row r="166" spans="1:47" s="2" customFormat="1" ht="146.25">
      <c r="A166" s="31"/>
      <c r="B166" s="32"/>
      <c r="C166" s="31"/>
      <c r="D166" s="150" t="s">
        <v>158</v>
      </c>
      <c r="E166" s="31"/>
      <c r="F166" s="163" t="s">
        <v>340</v>
      </c>
      <c r="G166" s="31"/>
      <c r="H166" s="31"/>
      <c r="I166" s="31"/>
      <c r="J166" s="31"/>
      <c r="K166" s="31"/>
      <c r="L166" s="32"/>
      <c r="M166" s="164"/>
      <c r="N166" s="165"/>
      <c r="O166" s="52"/>
      <c r="P166" s="52"/>
      <c r="Q166" s="52"/>
      <c r="R166" s="52"/>
      <c r="S166" s="52"/>
      <c r="T166" s="53"/>
      <c r="U166" s="31"/>
      <c r="V166" s="31"/>
      <c r="W166" s="31"/>
      <c r="X166" s="31"/>
      <c r="Y166" s="31"/>
      <c r="Z166" s="31"/>
      <c r="AA166" s="31"/>
      <c r="AB166" s="31"/>
      <c r="AC166" s="31"/>
      <c r="AD166" s="31"/>
      <c r="AE166" s="31"/>
      <c r="AT166" s="19" t="s">
        <v>158</v>
      </c>
      <c r="AU166" s="19" t="s">
        <v>85</v>
      </c>
    </row>
    <row r="167" spans="1:65" s="2" customFormat="1" ht="62.65" customHeight="1">
      <c r="A167" s="31"/>
      <c r="B167" s="136"/>
      <c r="C167" s="137" t="s">
        <v>226</v>
      </c>
      <c r="D167" s="137" t="s">
        <v>147</v>
      </c>
      <c r="E167" s="138" t="s">
        <v>342</v>
      </c>
      <c r="F167" s="139" t="s">
        <v>343</v>
      </c>
      <c r="G167" s="140" t="s">
        <v>170</v>
      </c>
      <c r="H167" s="141">
        <f>H169</f>
        <v>10.08</v>
      </c>
      <c r="I167" s="142"/>
      <c r="J167" s="142">
        <f>ROUND(I167*H167,2)</f>
        <v>0</v>
      </c>
      <c r="K167" s="139" t="s">
        <v>157</v>
      </c>
      <c r="L167" s="32"/>
      <c r="M167" s="143" t="s">
        <v>3</v>
      </c>
      <c r="N167" s="144" t="s">
        <v>46</v>
      </c>
      <c r="O167" s="145">
        <v>0.26</v>
      </c>
      <c r="P167" s="145">
        <f>O167*H167</f>
        <v>2.6208</v>
      </c>
      <c r="Q167" s="145">
        <v>0</v>
      </c>
      <c r="R167" s="145">
        <f>Q167*H167</f>
        <v>0</v>
      </c>
      <c r="S167" s="145">
        <v>0</v>
      </c>
      <c r="T167" s="146">
        <f>S167*H167</f>
        <v>0</v>
      </c>
      <c r="U167" s="31"/>
      <c r="V167" s="31"/>
      <c r="W167" s="31"/>
      <c r="X167" s="31"/>
      <c r="Y167" s="31"/>
      <c r="Z167" s="31"/>
      <c r="AA167" s="31"/>
      <c r="AB167" s="31"/>
      <c r="AC167" s="31"/>
      <c r="AD167" s="31"/>
      <c r="AE167" s="31"/>
      <c r="AR167" s="147" t="s">
        <v>152</v>
      </c>
      <c r="AT167" s="147" t="s">
        <v>147</v>
      </c>
      <c r="AU167" s="147" t="s">
        <v>85</v>
      </c>
      <c r="AY167" s="19" t="s">
        <v>144</v>
      </c>
      <c r="BE167" s="148">
        <f>IF(N167="základní",J167,0)</f>
        <v>0</v>
      </c>
      <c r="BF167" s="148">
        <f>IF(N167="snížená",J167,0)</f>
        <v>0</v>
      </c>
      <c r="BG167" s="148">
        <f>IF(N167="zákl. přenesená",J167,0)</f>
        <v>0</v>
      </c>
      <c r="BH167" s="148">
        <f>IF(N167="sníž. přenesená",J167,0)</f>
        <v>0</v>
      </c>
      <c r="BI167" s="148">
        <f>IF(N167="nulová",J167,0)</f>
        <v>0</v>
      </c>
      <c r="BJ167" s="19" t="s">
        <v>83</v>
      </c>
      <c r="BK167" s="148">
        <f>ROUND(I167*H167,2)</f>
        <v>0</v>
      </c>
      <c r="BL167" s="19" t="s">
        <v>152</v>
      </c>
      <c r="BM167" s="147" t="s">
        <v>954</v>
      </c>
    </row>
    <row r="168" spans="1:47" s="2" customFormat="1" ht="146.25">
      <c r="A168" s="31"/>
      <c r="B168" s="32"/>
      <c r="C168" s="31"/>
      <c r="D168" s="150" t="s">
        <v>158</v>
      </c>
      <c r="E168" s="31"/>
      <c r="F168" s="163" t="s">
        <v>340</v>
      </c>
      <c r="G168" s="31"/>
      <c r="H168" s="31"/>
      <c r="I168" s="31"/>
      <c r="J168" s="31"/>
      <c r="K168" s="31"/>
      <c r="L168" s="32"/>
      <c r="M168" s="164"/>
      <c r="N168" s="165"/>
      <c r="O168" s="52"/>
      <c r="P168" s="52"/>
      <c r="Q168" s="52"/>
      <c r="R168" s="52"/>
      <c r="S168" s="52"/>
      <c r="T168" s="53"/>
      <c r="U168" s="31"/>
      <c r="V168" s="31"/>
      <c r="W168" s="31"/>
      <c r="X168" s="31"/>
      <c r="Y168" s="31"/>
      <c r="Z168" s="31"/>
      <c r="AA168" s="31"/>
      <c r="AB168" s="31"/>
      <c r="AC168" s="31"/>
      <c r="AD168" s="31"/>
      <c r="AE168" s="31"/>
      <c r="AT168" s="19" t="s">
        <v>158</v>
      </c>
      <c r="AU168" s="19" t="s">
        <v>85</v>
      </c>
    </row>
    <row r="169" spans="2:51" s="14" customFormat="1" ht="12">
      <c r="B169" s="156"/>
      <c r="D169" s="150" t="s">
        <v>154</v>
      </c>
      <c r="F169" s="158" t="s">
        <v>1845</v>
      </c>
      <c r="H169" s="159">
        <f>H165*5</f>
        <v>10.08</v>
      </c>
      <c r="L169" s="156"/>
      <c r="M169" s="160"/>
      <c r="N169" s="161"/>
      <c r="O169" s="161"/>
      <c r="P169" s="161"/>
      <c r="Q169" s="161"/>
      <c r="R169" s="161"/>
      <c r="S169" s="161"/>
      <c r="T169" s="162"/>
      <c r="AT169" s="157" t="s">
        <v>154</v>
      </c>
      <c r="AU169" s="157" t="s">
        <v>85</v>
      </c>
      <c r="AV169" s="14" t="s">
        <v>85</v>
      </c>
      <c r="AW169" s="14" t="s">
        <v>4</v>
      </c>
      <c r="AX169" s="14" t="s">
        <v>83</v>
      </c>
      <c r="AY169" s="157" t="s">
        <v>144</v>
      </c>
    </row>
    <row r="170" spans="1:65" s="2" customFormat="1" ht="24.2" customHeight="1">
      <c r="A170" s="31"/>
      <c r="B170" s="136"/>
      <c r="C170" s="137" t="s">
        <v>227</v>
      </c>
      <c r="D170" s="137" t="s">
        <v>147</v>
      </c>
      <c r="E170" s="138" t="s">
        <v>346</v>
      </c>
      <c r="F170" s="139" t="s">
        <v>347</v>
      </c>
      <c r="G170" s="140" t="s">
        <v>170</v>
      </c>
      <c r="H170" s="141">
        <f>H165</f>
        <v>2.016</v>
      </c>
      <c r="I170" s="142"/>
      <c r="J170" s="142">
        <f>ROUND(I170*H170,2)</f>
        <v>0</v>
      </c>
      <c r="K170" s="139" t="s">
        <v>157</v>
      </c>
      <c r="L170" s="32"/>
      <c r="M170" s="143" t="s">
        <v>3</v>
      </c>
      <c r="N170" s="144" t="s">
        <v>46</v>
      </c>
      <c r="O170" s="145">
        <v>0.125</v>
      </c>
      <c r="P170" s="145">
        <f>O170*H170</f>
        <v>0.252</v>
      </c>
      <c r="Q170" s="145">
        <v>0</v>
      </c>
      <c r="R170" s="145">
        <f>Q170*H170</f>
        <v>0</v>
      </c>
      <c r="S170" s="145">
        <v>0</v>
      </c>
      <c r="T170" s="146">
        <f>S170*H170</f>
        <v>0</v>
      </c>
      <c r="U170" s="31"/>
      <c r="V170" s="31"/>
      <c r="W170" s="31"/>
      <c r="X170" s="31"/>
      <c r="Y170" s="31"/>
      <c r="Z170" s="31"/>
      <c r="AA170" s="31"/>
      <c r="AB170" s="31"/>
      <c r="AC170" s="31"/>
      <c r="AD170" s="31"/>
      <c r="AE170" s="31"/>
      <c r="AR170" s="147" t="s">
        <v>152</v>
      </c>
      <c r="AT170" s="147" t="s">
        <v>147</v>
      </c>
      <c r="AU170" s="147" t="s">
        <v>85</v>
      </c>
      <c r="AY170" s="19" t="s">
        <v>144</v>
      </c>
      <c r="BE170" s="148">
        <f>IF(N170="základní",J170,0)</f>
        <v>0</v>
      </c>
      <c r="BF170" s="148">
        <f>IF(N170="snížená",J170,0)</f>
        <v>0</v>
      </c>
      <c r="BG170" s="148">
        <f>IF(N170="zákl. přenesená",J170,0)</f>
        <v>0</v>
      </c>
      <c r="BH170" s="148">
        <f>IF(N170="sníž. přenesená",J170,0)</f>
        <v>0</v>
      </c>
      <c r="BI170" s="148">
        <f>IF(N170="nulová",J170,0)</f>
        <v>0</v>
      </c>
      <c r="BJ170" s="19" t="s">
        <v>83</v>
      </c>
      <c r="BK170" s="148">
        <f>ROUND(I170*H170,2)</f>
        <v>0</v>
      </c>
      <c r="BL170" s="19" t="s">
        <v>152</v>
      </c>
      <c r="BM170" s="147" t="s">
        <v>955</v>
      </c>
    </row>
    <row r="171" spans="1:47" s="2" customFormat="1" ht="107.25">
      <c r="A171" s="31"/>
      <c r="B171" s="32"/>
      <c r="C171" s="31"/>
      <c r="D171" s="150" t="s">
        <v>158</v>
      </c>
      <c r="E171" s="31"/>
      <c r="F171" s="163" t="s">
        <v>349</v>
      </c>
      <c r="G171" s="31"/>
      <c r="H171" s="31"/>
      <c r="I171" s="31"/>
      <c r="J171" s="31"/>
      <c r="K171" s="31"/>
      <c r="L171" s="32"/>
      <c r="M171" s="164"/>
      <c r="N171" s="165"/>
      <c r="O171" s="52"/>
      <c r="P171" s="52"/>
      <c r="Q171" s="52"/>
      <c r="R171" s="52"/>
      <c r="S171" s="52"/>
      <c r="T171" s="53"/>
      <c r="U171" s="31"/>
      <c r="V171" s="31"/>
      <c r="W171" s="31"/>
      <c r="X171" s="31"/>
      <c r="Y171" s="31"/>
      <c r="Z171" s="31"/>
      <c r="AA171" s="31"/>
      <c r="AB171" s="31"/>
      <c r="AC171" s="31"/>
      <c r="AD171" s="31"/>
      <c r="AE171" s="31"/>
      <c r="AT171" s="19" t="s">
        <v>158</v>
      </c>
      <c r="AU171" s="19" t="s">
        <v>85</v>
      </c>
    </row>
    <row r="172" spans="1:65" s="2" customFormat="1" ht="37.9" customHeight="1">
      <c r="A172" s="31"/>
      <c r="B172" s="136"/>
      <c r="C172" s="137" t="s">
        <v>228</v>
      </c>
      <c r="D172" s="137" t="s">
        <v>147</v>
      </c>
      <c r="E172" s="138" t="s">
        <v>351</v>
      </c>
      <c r="F172" s="139" t="s">
        <v>352</v>
      </c>
      <c r="G172" s="140" t="s">
        <v>170</v>
      </c>
      <c r="H172" s="141">
        <f>H174</f>
        <v>48.384</v>
      </c>
      <c r="I172" s="142"/>
      <c r="J172" s="142">
        <f>ROUND(I172*H172,2)</f>
        <v>0</v>
      </c>
      <c r="K172" s="139" t="s">
        <v>157</v>
      </c>
      <c r="L172" s="32"/>
      <c r="M172" s="143" t="s">
        <v>3</v>
      </c>
      <c r="N172" s="144" t="s">
        <v>46</v>
      </c>
      <c r="O172" s="145">
        <v>0.006</v>
      </c>
      <c r="P172" s="145">
        <f>O172*H172</f>
        <v>0.290304</v>
      </c>
      <c r="Q172" s="145">
        <v>0</v>
      </c>
      <c r="R172" s="145">
        <f>Q172*H172</f>
        <v>0</v>
      </c>
      <c r="S172" s="145">
        <v>0</v>
      </c>
      <c r="T172" s="146">
        <f>S172*H172</f>
        <v>0</v>
      </c>
      <c r="U172" s="31"/>
      <c r="V172" s="31"/>
      <c r="W172" s="31"/>
      <c r="X172" s="31"/>
      <c r="Y172" s="31"/>
      <c r="Z172" s="31"/>
      <c r="AA172" s="31"/>
      <c r="AB172" s="31"/>
      <c r="AC172" s="31"/>
      <c r="AD172" s="31"/>
      <c r="AE172" s="31"/>
      <c r="AR172" s="147" t="s">
        <v>152</v>
      </c>
      <c r="AT172" s="147" t="s">
        <v>147</v>
      </c>
      <c r="AU172" s="147" t="s">
        <v>85</v>
      </c>
      <c r="AY172" s="19" t="s">
        <v>144</v>
      </c>
      <c r="BE172" s="148">
        <f>IF(N172="základní",J172,0)</f>
        <v>0</v>
      </c>
      <c r="BF172" s="148">
        <f>IF(N172="snížená",J172,0)</f>
        <v>0</v>
      </c>
      <c r="BG172" s="148">
        <f>IF(N172="zákl. přenesená",J172,0)</f>
        <v>0</v>
      </c>
      <c r="BH172" s="148">
        <f>IF(N172="sníž. přenesená",J172,0)</f>
        <v>0</v>
      </c>
      <c r="BI172" s="148">
        <f>IF(N172="nulová",J172,0)</f>
        <v>0</v>
      </c>
      <c r="BJ172" s="19" t="s">
        <v>83</v>
      </c>
      <c r="BK172" s="148">
        <f>ROUND(I172*H172,2)</f>
        <v>0</v>
      </c>
      <c r="BL172" s="19" t="s">
        <v>152</v>
      </c>
      <c r="BM172" s="147" t="s">
        <v>956</v>
      </c>
    </row>
    <row r="173" spans="1:47" s="2" customFormat="1" ht="107.25">
      <c r="A173" s="31"/>
      <c r="B173" s="32"/>
      <c r="C173" s="31"/>
      <c r="D173" s="150" t="s">
        <v>158</v>
      </c>
      <c r="E173" s="31"/>
      <c r="F173" s="163" t="s">
        <v>349</v>
      </c>
      <c r="G173" s="31"/>
      <c r="H173" s="31"/>
      <c r="I173" s="31"/>
      <c r="J173" s="31"/>
      <c r="K173" s="31"/>
      <c r="L173" s="32"/>
      <c r="M173" s="164"/>
      <c r="N173" s="165"/>
      <c r="O173" s="52"/>
      <c r="P173" s="52"/>
      <c r="Q173" s="52"/>
      <c r="R173" s="52"/>
      <c r="S173" s="52"/>
      <c r="T173" s="53"/>
      <c r="U173" s="31"/>
      <c r="V173" s="31"/>
      <c r="W173" s="31"/>
      <c r="X173" s="31"/>
      <c r="Y173" s="31"/>
      <c r="Z173" s="31"/>
      <c r="AA173" s="31"/>
      <c r="AB173" s="31"/>
      <c r="AC173" s="31"/>
      <c r="AD173" s="31"/>
      <c r="AE173" s="31"/>
      <c r="AT173" s="19" t="s">
        <v>158</v>
      </c>
      <c r="AU173" s="19" t="s">
        <v>85</v>
      </c>
    </row>
    <row r="174" spans="2:51" s="14" customFormat="1" ht="12">
      <c r="B174" s="156"/>
      <c r="D174" s="150" t="s">
        <v>154</v>
      </c>
      <c r="F174" s="158" t="s">
        <v>1846</v>
      </c>
      <c r="H174" s="159">
        <f>H170*24</f>
        <v>48.384</v>
      </c>
      <c r="L174" s="156"/>
      <c r="M174" s="160"/>
      <c r="N174" s="161"/>
      <c r="O174" s="161"/>
      <c r="P174" s="161"/>
      <c r="Q174" s="161"/>
      <c r="R174" s="161"/>
      <c r="S174" s="161"/>
      <c r="T174" s="162"/>
      <c r="AT174" s="157" t="s">
        <v>154</v>
      </c>
      <c r="AU174" s="157" t="s">
        <v>85</v>
      </c>
      <c r="AV174" s="14" t="s">
        <v>85</v>
      </c>
      <c r="AW174" s="14" t="s">
        <v>4</v>
      </c>
      <c r="AX174" s="14" t="s">
        <v>83</v>
      </c>
      <c r="AY174" s="157" t="s">
        <v>144</v>
      </c>
    </row>
    <row r="175" spans="1:65" s="2" customFormat="1" ht="37.9" customHeight="1">
      <c r="A175" s="31"/>
      <c r="B175" s="136"/>
      <c r="C175" s="137" t="s">
        <v>229</v>
      </c>
      <c r="D175" s="137" t="s">
        <v>147</v>
      </c>
      <c r="E175" s="138" t="s">
        <v>355</v>
      </c>
      <c r="F175" s="139" t="s">
        <v>356</v>
      </c>
      <c r="G175" s="140" t="s">
        <v>170</v>
      </c>
      <c r="H175" s="141">
        <f>H170</f>
        <v>2.016</v>
      </c>
      <c r="I175" s="142"/>
      <c r="J175" s="142">
        <f>ROUND(I175*H175,2)</f>
        <v>0</v>
      </c>
      <c r="K175" s="139" t="s">
        <v>157</v>
      </c>
      <c r="L175" s="32"/>
      <c r="M175" s="143" t="s">
        <v>3</v>
      </c>
      <c r="N175" s="144" t="s">
        <v>46</v>
      </c>
      <c r="O175" s="145">
        <v>0</v>
      </c>
      <c r="P175" s="145">
        <f>O175*H175</f>
        <v>0</v>
      </c>
      <c r="Q175" s="145">
        <v>0</v>
      </c>
      <c r="R175" s="145">
        <f>Q175*H175</f>
        <v>0</v>
      </c>
      <c r="S175" s="145">
        <v>0</v>
      </c>
      <c r="T175" s="146">
        <f>S175*H175</f>
        <v>0</v>
      </c>
      <c r="U175" s="31"/>
      <c r="V175" s="31"/>
      <c r="W175" s="31"/>
      <c r="X175" s="31"/>
      <c r="Y175" s="31"/>
      <c r="Z175" s="31"/>
      <c r="AA175" s="31"/>
      <c r="AB175" s="31"/>
      <c r="AC175" s="31"/>
      <c r="AD175" s="31"/>
      <c r="AE175" s="31"/>
      <c r="AR175" s="147" t="s">
        <v>152</v>
      </c>
      <c r="AT175" s="147" t="s">
        <v>147</v>
      </c>
      <c r="AU175" s="147" t="s">
        <v>85</v>
      </c>
      <c r="AY175" s="19" t="s">
        <v>144</v>
      </c>
      <c r="BE175" s="148">
        <f>IF(N175="základní",J175,0)</f>
        <v>0</v>
      </c>
      <c r="BF175" s="148">
        <f>IF(N175="snížená",J175,0)</f>
        <v>0</v>
      </c>
      <c r="BG175" s="148">
        <f>IF(N175="zákl. přenesená",J175,0)</f>
        <v>0</v>
      </c>
      <c r="BH175" s="148">
        <f>IF(N175="sníž. přenesená",J175,0)</f>
        <v>0</v>
      </c>
      <c r="BI175" s="148">
        <f>IF(N175="nulová",J175,0)</f>
        <v>0</v>
      </c>
      <c r="BJ175" s="19" t="s">
        <v>83</v>
      </c>
      <c r="BK175" s="148">
        <f>ROUND(I175*H175,2)</f>
        <v>0</v>
      </c>
      <c r="BL175" s="19" t="s">
        <v>152</v>
      </c>
      <c r="BM175" s="147" t="s">
        <v>957</v>
      </c>
    </row>
    <row r="176" spans="1:47" s="2" customFormat="1" ht="107.25">
      <c r="A176" s="31"/>
      <c r="B176" s="32"/>
      <c r="C176" s="31"/>
      <c r="D176" s="150" t="s">
        <v>158</v>
      </c>
      <c r="E176" s="31"/>
      <c r="F176" s="163" t="s">
        <v>358</v>
      </c>
      <c r="G176" s="31"/>
      <c r="H176" s="31"/>
      <c r="I176" s="31"/>
      <c r="J176" s="31"/>
      <c r="K176" s="31"/>
      <c r="L176" s="32"/>
      <c r="M176" s="164"/>
      <c r="N176" s="165"/>
      <c r="O176" s="52"/>
      <c r="P176" s="52"/>
      <c r="Q176" s="52"/>
      <c r="R176" s="52"/>
      <c r="S176" s="52"/>
      <c r="T176" s="53"/>
      <c r="U176" s="31"/>
      <c r="V176" s="31"/>
      <c r="W176" s="31"/>
      <c r="X176" s="31"/>
      <c r="Y176" s="31"/>
      <c r="Z176" s="31"/>
      <c r="AA176" s="31"/>
      <c r="AB176" s="31"/>
      <c r="AC176" s="31"/>
      <c r="AD176" s="31"/>
      <c r="AE176" s="31"/>
      <c r="AT176" s="19" t="s">
        <v>158</v>
      </c>
      <c r="AU176" s="19" t="s">
        <v>85</v>
      </c>
    </row>
    <row r="177" spans="1:65" s="2" customFormat="1" ht="24.2" customHeight="1">
      <c r="A177" s="31"/>
      <c r="B177" s="136"/>
      <c r="C177" s="137" t="s">
        <v>230</v>
      </c>
      <c r="D177" s="137" t="s">
        <v>147</v>
      </c>
      <c r="E177" s="138" t="s">
        <v>958</v>
      </c>
      <c r="F177" s="139" t="s">
        <v>959</v>
      </c>
      <c r="G177" s="140" t="s">
        <v>960</v>
      </c>
      <c r="H177" s="141">
        <v>1</v>
      </c>
      <c r="I177" s="142"/>
      <c r="J177" s="142">
        <f>ROUND(I177*H177,2)</f>
        <v>0</v>
      </c>
      <c r="K177" s="139" t="s">
        <v>151</v>
      </c>
      <c r="L177" s="32"/>
      <c r="M177" s="143" t="s">
        <v>3</v>
      </c>
      <c r="N177" s="144" t="s">
        <v>46</v>
      </c>
      <c r="O177" s="145">
        <v>0</v>
      </c>
      <c r="P177" s="145">
        <f>O177*H177</f>
        <v>0</v>
      </c>
      <c r="Q177" s="145">
        <v>0</v>
      </c>
      <c r="R177" s="145">
        <f>Q177*H177</f>
        <v>0</v>
      </c>
      <c r="S177" s="145">
        <v>0</v>
      </c>
      <c r="T177" s="146">
        <f>S177*H177</f>
        <v>0</v>
      </c>
      <c r="U177" s="31"/>
      <c r="V177" s="31"/>
      <c r="W177" s="31"/>
      <c r="X177" s="31"/>
      <c r="Y177" s="31"/>
      <c r="Z177" s="31"/>
      <c r="AA177" s="31"/>
      <c r="AB177" s="31"/>
      <c r="AC177" s="31"/>
      <c r="AD177" s="31"/>
      <c r="AE177" s="31"/>
      <c r="AR177" s="147" t="s">
        <v>152</v>
      </c>
      <c r="AT177" s="147" t="s">
        <v>147</v>
      </c>
      <c r="AU177" s="147" t="s">
        <v>85</v>
      </c>
      <c r="AY177" s="19" t="s">
        <v>144</v>
      </c>
      <c r="BE177" s="148">
        <f>IF(N177="základní",J177,0)</f>
        <v>0</v>
      </c>
      <c r="BF177" s="148">
        <f>IF(N177="snížená",J177,0)</f>
        <v>0</v>
      </c>
      <c r="BG177" s="148">
        <f>IF(N177="zákl. přenesená",J177,0)</f>
        <v>0</v>
      </c>
      <c r="BH177" s="148">
        <f>IF(N177="sníž. přenesená",J177,0)</f>
        <v>0</v>
      </c>
      <c r="BI177" s="148">
        <f>IF(N177="nulová",J177,0)</f>
        <v>0</v>
      </c>
      <c r="BJ177" s="19" t="s">
        <v>83</v>
      </c>
      <c r="BK177" s="148">
        <f>ROUND(I177*H177,2)</f>
        <v>0</v>
      </c>
      <c r="BL177" s="19" t="s">
        <v>152</v>
      </c>
      <c r="BM177" s="147" t="s">
        <v>961</v>
      </c>
    </row>
    <row r="178" spans="2:63" s="12" customFormat="1" ht="22.9" customHeight="1">
      <c r="B178" s="124"/>
      <c r="D178" s="125" t="s">
        <v>74</v>
      </c>
      <c r="E178" s="134" t="s">
        <v>359</v>
      </c>
      <c r="F178" s="134" t="s">
        <v>360</v>
      </c>
      <c r="J178" s="135">
        <f>BK178</f>
        <v>0</v>
      </c>
      <c r="L178" s="124"/>
      <c r="M178" s="128"/>
      <c r="N178" s="129"/>
      <c r="O178" s="129"/>
      <c r="P178" s="130">
        <f>SUM(P179:P180)</f>
        <v>13.105760000000002</v>
      </c>
      <c r="Q178" s="129"/>
      <c r="R178" s="130">
        <f>SUM(R179:R180)</f>
        <v>0</v>
      </c>
      <c r="S178" s="129"/>
      <c r="T178" s="131">
        <f>SUM(T179:T180)</f>
        <v>0</v>
      </c>
      <c r="AR178" s="125" t="s">
        <v>83</v>
      </c>
      <c r="AT178" s="132" t="s">
        <v>74</v>
      </c>
      <c r="AU178" s="132" t="s">
        <v>83</v>
      </c>
      <c r="AY178" s="125" t="s">
        <v>144</v>
      </c>
      <c r="BK178" s="133">
        <f>SUM(BK179:BK180)</f>
        <v>0</v>
      </c>
    </row>
    <row r="179" spans="1:65" s="2" customFormat="1" ht="49.15" customHeight="1">
      <c r="A179" s="31"/>
      <c r="B179" s="136"/>
      <c r="C179" s="137" t="s">
        <v>231</v>
      </c>
      <c r="D179" s="137" t="s">
        <v>147</v>
      </c>
      <c r="E179" s="138" t="s">
        <v>362</v>
      </c>
      <c r="F179" s="139" t="s">
        <v>363</v>
      </c>
      <c r="G179" s="140" t="s">
        <v>170</v>
      </c>
      <c r="H179" s="141">
        <v>3.244</v>
      </c>
      <c r="I179" s="142"/>
      <c r="J179" s="142">
        <f>ROUND(I179*H179,2)</f>
        <v>0</v>
      </c>
      <c r="K179" s="139" t="s">
        <v>157</v>
      </c>
      <c r="L179" s="32"/>
      <c r="M179" s="143" t="s">
        <v>3</v>
      </c>
      <c r="N179" s="144" t="s">
        <v>46</v>
      </c>
      <c r="O179" s="145">
        <v>4.04</v>
      </c>
      <c r="P179" s="145">
        <f>O179*H179</f>
        <v>13.105760000000002</v>
      </c>
      <c r="Q179" s="145">
        <v>0</v>
      </c>
      <c r="R179" s="145">
        <f>Q179*H179</f>
        <v>0</v>
      </c>
      <c r="S179" s="145">
        <v>0</v>
      </c>
      <c r="T179" s="146">
        <f>S179*H179</f>
        <v>0</v>
      </c>
      <c r="U179" s="31"/>
      <c r="V179" s="31"/>
      <c r="W179" s="31"/>
      <c r="X179" s="31"/>
      <c r="Y179" s="31"/>
      <c r="Z179" s="31"/>
      <c r="AA179" s="31"/>
      <c r="AB179" s="31"/>
      <c r="AC179" s="31"/>
      <c r="AD179" s="31"/>
      <c r="AE179" s="31"/>
      <c r="AR179" s="147" t="s">
        <v>152</v>
      </c>
      <c r="AT179" s="147" t="s">
        <v>147</v>
      </c>
      <c r="AU179" s="147" t="s">
        <v>85</v>
      </c>
      <c r="AY179" s="19" t="s">
        <v>144</v>
      </c>
      <c r="BE179" s="148">
        <f>IF(N179="základní",J179,0)</f>
        <v>0</v>
      </c>
      <c r="BF179" s="148">
        <f>IF(N179="snížená",J179,0)</f>
        <v>0</v>
      </c>
      <c r="BG179" s="148">
        <f>IF(N179="zákl. přenesená",J179,0)</f>
        <v>0</v>
      </c>
      <c r="BH179" s="148">
        <f>IF(N179="sníž. přenesená",J179,0)</f>
        <v>0</v>
      </c>
      <c r="BI179" s="148">
        <f>IF(N179="nulová",J179,0)</f>
        <v>0</v>
      </c>
      <c r="BJ179" s="19" t="s">
        <v>83</v>
      </c>
      <c r="BK179" s="148">
        <f>ROUND(I179*H179,2)</f>
        <v>0</v>
      </c>
      <c r="BL179" s="19" t="s">
        <v>152</v>
      </c>
      <c r="BM179" s="147" t="s">
        <v>962</v>
      </c>
    </row>
    <row r="180" spans="1:47" s="2" customFormat="1" ht="87.75">
      <c r="A180" s="31"/>
      <c r="B180" s="32"/>
      <c r="C180" s="31"/>
      <c r="D180" s="150" t="s">
        <v>158</v>
      </c>
      <c r="E180" s="31"/>
      <c r="F180" s="163" t="s">
        <v>365</v>
      </c>
      <c r="G180" s="31"/>
      <c r="H180" s="31"/>
      <c r="I180" s="31"/>
      <c r="J180" s="31"/>
      <c r="K180" s="31"/>
      <c r="L180" s="32"/>
      <c r="M180" s="164"/>
      <c r="N180" s="165"/>
      <c r="O180" s="52"/>
      <c r="P180" s="52"/>
      <c r="Q180" s="52"/>
      <c r="R180" s="52"/>
      <c r="S180" s="52"/>
      <c r="T180" s="53"/>
      <c r="U180" s="31"/>
      <c r="V180" s="31"/>
      <c r="W180" s="31"/>
      <c r="X180" s="31"/>
      <c r="Y180" s="31"/>
      <c r="Z180" s="31"/>
      <c r="AA180" s="31"/>
      <c r="AB180" s="31"/>
      <c r="AC180" s="31"/>
      <c r="AD180" s="31"/>
      <c r="AE180" s="31"/>
      <c r="AT180" s="19" t="s">
        <v>158</v>
      </c>
      <c r="AU180" s="19" t="s">
        <v>85</v>
      </c>
    </row>
    <row r="181" spans="2:63" s="12" customFormat="1" ht="25.9" customHeight="1">
      <c r="B181" s="124"/>
      <c r="D181" s="125" t="s">
        <v>74</v>
      </c>
      <c r="E181" s="126" t="s">
        <v>366</v>
      </c>
      <c r="F181" s="126" t="s">
        <v>367</v>
      </c>
      <c r="J181" s="127">
        <f>BK181</f>
        <v>0</v>
      </c>
      <c r="L181" s="124"/>
      <c r="M181" s="128"/>
      <c r="N181" s="129"/>
      <c r="O181" s="129"/>
      <c r="P181" s="130">
        <f>P182+P221+P254+P336</f>
        <v>131.078269</v>
      </c>
      <c r="Q181" s="129"/>
      <c r="R181" s="130">
        <f>R182+R221+R254+R336</f>
        <v>0.2818852</v>
      </c>
      <c r="S181" s="129"/>
      <c r="T181" s="131">
        <f>T182+T221+T254+T336</f>
        <v>0.22240000000000001</v>
      </c>
      <c r="AR181" s="125" t="s">
        <v>85</v>
      </c>
      <c r="AT181" s="132" t="s">
        <v>74</v>
      </c>
      <c r="AU181" s="132" t="s">
        <v>75</v>
      </c>
      <c r="AY181" s="125" t="s">
        <v>144</v>
      </c>
      <c r="BK181" s="133">
        <f>BK182+BK221+BK254+BK336</f>
        <v>0</v>
      </c>
    </row>
    <row r="182" spans="2:63" s="12" customFormat="1" ht="22.9" customHeight="1">
      <c r="B182" s="124"/>
      <c r="D182" s="125" t="s">
        <v>74</v>
      </c>
      <c r="E182" s="134" t="s">
        <v>963</v>
      </c>
      <c r="F182" s="134" t="s">
        <v>964</v>
      </c>
      <c r="J182" s="135">
        <f>BK182</f>
        <v>0</v>
      </c>
      <c r="L182" s="124"/>
      <c r="M182" s="128"/>
      <c r="N182" s="129"/>
      <c r="O182" s="129"/>
      <c r="P182" s="130">
        <f>SUM(P183:P220)</f>
        <v>21.34038</v>
      </c>
      <c r="Q182" s="129"/>
      <c r="R182" s="130">
        <f>SUM(R183:R220)</f>
        <v>0.0952508</v>
      </c>
      <c r="S182" s="129"/>
      <c r="T182" s="131">
        <f>SUM(T183:T220)</f>
        <v>0</v>
      </c>
      <c r="AR182" s="125" t="s">
        <v>85</v>
      </c>
      <c r="AT182" s="132" t="s">
        <v>74</v>
      </c>
      <c r="AU182" s="132" t="s">
        <v>83</v>
      </c>
      <c r="AY182" s="125" t="s">
        <v>144</v>
      </c>
      <c r="BK182" s="133">
        <f>SUM(BK183:BK220)</f>
        <v>0</v>
      </c>
    </row>
    <row r="183" spans="1:65" s="2" customFormat="1" ht="14.45" customHeight="1">
      <c r="A183" s="31"/>
      <c r="B183" s="136"/>
      <c r="C183" s="137" t="s">
        <v>233</v>
      </c>
      <c r="D183" s="137" t="s">
        <v>147</v>
      </c>
      <c r="E183" s="138" t="s">
        <v>965</v>
      </c>
      <c r="F183" s="139" t="s">
        <v>966</v>
      </c>
      <c r="G183" s="140" t="s">
        <v>201</v>
      </c>
      <c r="H183" s="141">
        <f>H186</f>
        <v>1.5</v>
      </c>
      <c r="I183" s="142"/>
      <c r="J183" s="142">
        <f>ROUND(I183*H183,2)</f>
        <v>0</v>
      </c>
      <c r="K183" s="139" t="s">
        <v>157</v>
      </c>
      <c r="L183" s="32"/>
      <c r="M183" s="143" t="s">
        <v>3</v>
      </c>
      <c r="N183" s="144" t="s">
        <v>46</v>
      </c>
      <c r="O183" s="145">
        <v>0.363</v>
      </c>
      <c r="P183" s="145">
        <f>O183*H183</f>
        <v>0.5445</v>
      </c>
      <c r="Q183" s="145">
        <v>0.00142</v>
      </c>
      <c r="R183" s="145">
        <f>Q183*H183</f>
        <v>0.00213</v>
      </c>
      <c r="S183" s="145">
        <v>0</v>
      </c>
      <c r="T183" s="146">
        <f>S183*H183</f>
        <v>0</v>
      </c>
      <c r="U183" s="31"/>
      <c r="V183" s="31"/>
      <c r="W183" s="31"/>
      <c r="X183" s="31"/>
      <c r="Y183" s="31"/>
      <c r="Z183" s="31"/>
      <c r="AA183" s="31"/>
      <c r="AB183" s="31"/>
      <c r="AC183" s="31"/>
      <c r="AD183" s="31"/>
      <c r="AE183" s="31"/>
      <c r="AR183" s="147" t="s">
        <v>218</v>
      </c>
      <c r="AT183" s="147" t="s">
        <v>147</v>
      </c>
      <c r="AU183" s="147" t="s">
        <v>85</v>
      </c>
      <c r="AY183" s="19" t="s">
        <v>144</v>
      </c>
      <c r="BE183" s="148">
        <f>IF(N183="základní",J183,0)</f>
        <v>0</v>
      </c>
      <c r="BF183" s="148">
        <f>IF(N183="snížená",J183,0)</f>
        <v>0</v>
      </c>
      <c r="BG183" s="148">
        <f>IF(N183="zákl. přenesená",J183,0)</f>
        <v>0</v>
      </c>
      <c r="BH183" s="148">
        <f>IF(N183="sníž. přenesená",J183,0)</f>
        <v>0</v>
      </c>
      <c r="BI183" s="148">
        <f>IF(N183="nulová",J183,0)</f>
        <v>0</v>
      </c>
      <c r="BJ183" s="19" t="s">
        <v>83</v>
      </c>
      <c r="BK183" s="148">
        <f>ROUND(I183*H183,2)</f>
        <v>0</v>
      </c>
      <c r="BL183" s="19" t="s">
        <v>218</v>
      </c>
      <c r="BM183" s="147" t="s">
        <v>967</v>
      </c>
    </row>
    <row r="184" spans="1:47" s="2" customFormat="1" ht="39">
      <c r="A184" s="31"/>
      <c r="B184" s="32"/>
      <c r="C184" s="31"/>
      <c r="D184" s="150" t="s">
        <v>158</v>
      </c>
      <c r="E184" s="31"/>
      <c r="F184" s="163" t="s">
        <v>968</v>
      </c>
      <c r="G184" s="31"/>
      <c r="H184" s="31"/>
      <c r="I184" s="31"/>
      <c r="J184" s="31"/>
      <c r="K184" s="31"/>
      <c r="L184" s="32"/>
      <c r="M184" s="164"/>
      <c r="N184" s="165"/>
      <c r="O184" s="52"/>
      <c r="P184" s="52"/>
      <c r="Q184" s="52"/>
      <c r="R184" s="52"/>
      <c r="S184" s="52"/>
      <c r="T184" s="53"/>
      <c r="U184" s="31"/>
      <c r="V184" s="31"/>
      <c r="W184" s="31"/>
      <c r="X184" s="31"/>
      <c r="Y184" s="31"/>
      <c r="Z184" s="31"/>
      <c r="AA184" s="31"/>
      <c r="AB184" s="31"/>
      <c r="AC184" s="31"/>
      <c r="AD184" s="31"/>
      <c r="AE184" s="31"/>
      <c r="AT184" s="19" t="s">
        <v>158</v>
      </c>
      <c r="AU184" s="19" t="s">
        <v>85</v>
      </c>
    </row>
    <row r="185" spans="2:51" s="13" customFormat="1" ht="12">
      <c r="B185" s="149"/>
      <c r="D185" s="150" t="s">
        <v>154</v>
      </c>
      <c r="E185" s="151" t="s">
        <v>3</v>
      </c>
      <c r="F185" s="152" t="s">
        <v>926</v>
      </c>
      <c r="H185" s="151" t="s">
        <v>3</v>
      </c>
      <c r="L185" s="149"/>
      <c r="M185" s="153"/>
      <c r="N185" s="154"/>
      <c r="O185" s="154"/>
      <c r="P185" s="154"/>
      <c r="Q185" s="154"/>
      <c r="R185" s="154"/>
      <c r="S185" s="154"/>
      <c r="T185" s="155"/>
      <c r="AT185" s="151" t="s">
        <v>154</v>
      </c>
      <c r="AU185" s="151" t="s">
        <v>85</v>
      </c>
      <c r="AV185" s="13" t="s">
        <v>83</v>
      </c>
      <c r="AW185" s="13" t="s">
        <v>37</v>
      </c>
      <c r="AX185" s="13" t="s">
        <v>75</v>
      </c>
      <c r="AY185" s="151" t="s">
        <v>144</v>
      </c>
    </row>
    <row r="186" spans="2:51" s="14" customFormat="1" ht="12">
      <c r="B186" s="156"/>
      <c r="D186" s="150" t="s">
        <v>154</v>
      </c>
      <c r="E186" s="157" t="s">
        <v>3</v>
      </c>
      <c r="F186" s="158">
        <v>1.5</v>
      </c>
      <c r="H186" s="159">
        <v>1.5</v>
      </c>
      <c r="L186" s="156"/>
      <c r="M186" s="160"/>
      <c r="N186" s="161"/>
      <c r="O186" s="161"/>
      <c r="P186" s="161"/>
      <c r="Q186" s="161"/>
      <c r="R186" s="161"/>
      <c r="S186" s="161"/>
      <c r="T186" s="162"/>
      <c r="AT186" s="157" t="s">
        <v>154</v>
      </c>
      <c r="AU186" s="157" t="s">
        <v>85</v>
      </c>
      <c r="AV186" s="14" t="s">
        <v>85</v>
      </c>
      <c r="AW186" s="14" t="s">
        <v>37</v>
      </c>
      <c r="AX186" s="14" t="s">
        <v>83</v>
      </c>
      <c r="AY186" s="157" t="s">
        <v>144</v>
      </c>
    </row>
    <row r="187" spans="1:65" s="2" customFormat="1" ht="14.45" customHeight="1">
      <c r="A187" s="31"/>
      <c r="B187" s="136"/>
      <c r="C187" s="137" t="s">
        <v>234</v>
      </c>
      <c r="D187" s="137" t="s">
        <v>147</v>
      </c>
      <c r="E187" s="138" t="s">
        <v>969</v>
      </c>
      <c r="F187" s="139" t="s">
        <v>970</v>
      </c>
      <c r="G187" s="140" t="s">
        <v>201</v>
      </c>
      <c r="H187" s="141">
        <f>H190</f>
        <v>6</v>
      </c>
      <c r="I187" s="142"/>
      <c r="J187" s="142">
        <f>ROUND(I187*H187,2)</f>
        <v>0</v>
      </c>
      <c r="K187" s="139" t="s">
        <v>157</v>
      </c>
      <c r="L187" s="32"/>
      <c r="M187" s="143" t="s">
        <v>3</v>
      </c>
      <c r="N187" s="144" t="s">
        <v>46</v>
      </c>
      <c r="O187" s="145">
        <v>0.404</v>
      </c>
      <c r="P187" s="145">
        <f>O187*H187</f>
        <v>2.4240000000000004</v>
      </c>
      <c r="Q187" s="145">
        <v>0.01232</v>
      </c>
      <c r="R187" s="145">
        <f>Q187*H187</f>
        <v>0.07392</v>
      </c>
      <c r="S187" s="145">
        <v>0</v>
      </c>
      <c r="T187" s="146">
        <f>S187*H187</f>
        <v>0</v>
      </c>
      <c r="U187" s="31"/>
      <c r="V187" s="31"/>
      <c r="W187" s="31"/>
      <c r="X187" s="31"/>
      <c r="Y187" s="31"/>
      <c r="Z187" s="31"/>
      <c r="AA187" s="31"/>
      <c r="AB187" s="31"/>
      <c r="AC187" s="31"/>
      <c r="AD187" s="31"/>
      <c r="AE187" s="31"/>
      <c r="AR187" s="147" t="s">
        <v>218</v>
      </c>
      <c r="AT187" s="147" t="s">
        <v>147</v>
      </c>
      <c r="AU187" s="147" t="s">
        <v>85</v>
      </c>
      <c r="AY187" s="19" t="s">
        <v>144</v>
      </c>
      <c r="BE187" s="148">
        <f>IF(N187="základní",J187,0)</f>
        <v>0</v>
      </c>
      <c r="BF187" s="148">
        <f>IF(N187="snížená",J187,0)</f>
        <v>0</v>
      </c>
      <c r="BG187" s="148">
        <f>IF(N187="zákl. přenesená",J187,0)</f>
        <v>0</v>
      </c>
      <c r="BH187" s="148">
        <f>IF(N187="sníž. přenesená",J187,0)</f>
        <v>0</v>
      </c>
      <c r="BI187" s="148">
        <f>IF(N187="nulová",J187,0)</f>
        <v>0</v>
      </c>
      <c r="BJ187" s="19" t="s">
        <v>83</v>
      </c>
      <c r="BK187" s="148">
        <f>ROUND(I187*H187,2)</f>
        <v>0</v>
      </c>
      <c r="BL187" s="19" t="s">
        <v>218</v>
      </c>
      <c r="BM187" s="147" t="s">
        <v>971</v>
      </c>
    </row>
    <row r="188" spans="1:47" s="2" customFormat="1" ht="39">
      <c r="A188" s="31"/>
      <c r="B188" s="32"/>
      <c r="C188" s="31"/>
      <c r="D188" s="150" t="s">
        <v>158</v>
      </c>
      <c r="E188" s="31"/>
      <c r="F188" s="163" t="s">
        <v>968</v>
      </c>
      <c r="G188" s="31"/>
      <c r="H188" s="31"/>
      <c r="I188" s="31"/>
      <c r="J188" s="31"/>
      <c r="K188" s="31"/>
      <c r="L188" s="32"/>
      <c r="M188" s="164"/>
      <c r="N188" s="165"/>
      <c r="O188" s="52"/>
      <c r="P188" s="52"/>
      <c r="Q188" s="52"/>
      <c r="R188" s="52"/>
      <c r="S188" s="52"/>
      <c r="T188" s="53"/>
      <c r="U188" s="31"/>
      <c r="V188" s="31"/>
      <c r="W188" s="31"/>
      <c r="X188" s="31"/>
      <c r="Y188" s="31"/>
      <c r="Z188" s="31"/>
      <c r="AA188" s="31"/>
      <c r="AB188" s="31"/>
      <c r="AC188" s="31"/>
      <c r="AD188" s="31"/>
      <c r="AE188" s="31"/>
      <c r="AT188" s="19" t="s">
        <v>158</v>
      </c>
      <c r="AU188" s="19" t="s">
        <v>85</v>
      </c>
    </row>
    <row r="189" spans="2:51" s="13" customFormat="1" ht="12">
      <c r="B189" s="149"/>
      <c r="D189" s="150" t="s">
        <v>154</v>
      </c>
      <c r="E189" s="151" t="s">
        <v>3</v>
      </c>
      <c r="F189" s="152" t="s">
        <v>926</v>
      </c>
      <c r="H189" s="151" t="s">
        <v>3</v>
      </c>
      <c r="L189" s="149"/>
      <c r="M189" s="153"/>
      <c r="N189" s="154"/>
      <c r="O189" s="154"/>
      <c r="P189" s="154"/>
      <c r="Q189" s="154"/>
      <c r="R189" s="154"/>
      <c r="S189" s="154"/>
      <c r="T189" s="155"/>
      <c r="AT189" s="151" t="s">
        <v>154</v>
      </c>
      <c r="AU189" s="151" t="s">
        <v>85</v>
      </c>
      <c r="AV189" s="13" t="s">
        <v>83</v>
      </c>
      <c r="AW189" s="13" t="s">
        <v>37</v>
      </c>
      <c r="AX189" s="13" t="s">
        <v>75</v>
      </c>
      <c r="AY189" s="151" t="s">
        <v>144</v>
      </c>
    </row>
    <row r="190" spans="2:51" s="14" customFormat="1" ht="12">
      <c r="B190" s="156"/>
      <c r="D190" s="150" t="s">
        <v>154</v>
      </c>
      <c r="E190" s="157" t="s">
        <v>3</v>
      </c>
      <c r="F190" s="158" t="s">
        <v>1847</v>
      </c>
      <c r="H190" s="159">
        <f>3.5+2.5</f>
        <v>6</v>
      </c>
      <c r="L190" s="156"/>
      <c r="M190" s="160"/>
      <c r="N190" s="161"/>
      <c r="O190" s="161"/>
      <c r="P190" s="161"/>
      <c r="Q190" s="161"/>
      <c r="R190" s="161"/>
      <c r="S190" s="161"/>
      <c r="T190" s="162"/>
      <c r="AT190" s="157" t="s">
        <v>154</v>
      </c>
      <c r="AU190" s="157" t="s">
        <v>85</v>
      </c>
      <c r="AV190" s="14" t="s">
        <v>85</v>
      </c>
      <c r="AW190" s="14" t="s">
        <v>37</v>
      </c>
      <c r="AX190" s="14" t="s">
        <v>83</v>
      </c>
      <c r="AY190" s="157" t="s">
        <v>144</v>
      </c>
    </row>
    <row r="191" spans="1:65" s="2" customFormat="1" ht="14.45" customHeight="1">
      <c r="A191" s="31"/>
      <c r="B191" s="136"/>
      <c r="C191" s="137" t="s">
        <v>235</v>
      </c>
      <c r="D191" s="137" t="s">
        <v>147</v>
      </c>
      <c r="E191" s="138" t="s">
        <v>972</v>
      </c>
      <c r="F191" s="139" t="s">
        <v>973</v>
      </c>
      <c r="G191" s="140" t="s">
        <v>201</v>
      </c>
      <c r="H191" s="141">
        <f>H194</f>
        <v>14.459999999999997</v>
      </c>
      <c r="I191" s="142"/>
      <c r="J191" s="142">
        <f>ROUND(I191*H191,2)</f>
        <v>0</v>
      </c>
      <c r="K191" s="139" t="s">
        <v>157</v>
      </c>
      <c r="L191" s="32"/>
      <c r="M191" s="143" t="s">
        <v>3</v>
      </c>
      <c r="N191" s="144" t="s">
        <v>46</v>
      </c>
      <c r="O191" s="145">
        <v>0.728</v>
      </c>
      <c r="P191" s="145">
        <f>O191*H191</f>
        <v>10.526879999999998</v>
      </c>
      <c r="Q191" s="145">
        <v>0.00048</v>
      </c>
      <c r="R191" s="145">
        <f>Q191*H191</f>
        <v>0.006940799999999999</v>
      </c>
      <c r="S191" s="145">
        <v>0</v>
      </c>
      <c r="T191" s="146">
        <f>S191*H191</f>
        <v>0</v>
      </c>
      <c r="U191" s="31"/>
      <c r="V191" s="31"/>
      <c r="W191" s="31"/>
      <c r="X191" s="31"/>
      <c r="Y191" s="31"/>
      <c r="Z191" s="31"/>
      <c r="AA191" s="31"/>
      <c r="AB191" s="31"/>
      <c r="AC191" s="31"/>
      <c r="AD191" s="31"/>
      <c r="AE191" s="31"/>
      <c r="AR191" s="147" t="s">
        <v>218</v>
      </c>
      <c r="AT191" s="147" t="s">
        <v>147</v>
      </c>
      <c r="AU191" s="147" t="s">
        <v>85</v>
      </c>
      <c r="AY191" s="19" t="s">
        <v>144</v>
      </c>
      <c r="BE191" s="148">
        <f>IF(N191="základní",J191,0)</f>
        <v>0</v>
      </c>
      <c r="BF191" s="148">
        <f>IF(N191="snížená",J191,0)</f>
        <v>0</v>
      </c>
      <c r="BG191" s="148">
        <f>IF(N191="zákl. přenesená",J191,0)</f>
        <v>0</v>
      </c>
      <c r="BH191" s="148">
        <f>IF(N191="sníž. přenesená",J191,0)</f>
        <v>0</v>
      </c>
      <c r="BI191" s="148">
        <f>IF(N191="nulová",J191,0)</f>
        <v>0</v>
      </c>
      <c r="BJ191" s="19" t="s">
        <v>83</v>
      </c>
      <c r="BK191" s="148">
        <f>ROUND(I191*H191,2)</f>
        <v>0</v>
      </c>
      <c r="BL191" s="19" t="s">
        <v>218</v>
      </c>
      <c r="BM191" s="147" t="s">
        <v>974</v>
      </c>
    </row>
    <row r="192" spans="1:47" s="2" customFormat="1" ht="68.25">
      <c r="A192" s="31"/>
      <c r="B192" s="32"/>
      <c r="C192" s="31"/>
      <c r="D192" s="150" t="s">
        <v>158</v>
      </c>
      <c r="E192" s="31"/>
      <c r="F192" s="163" t="s">
        <v>975</v>
      </c>
      <c r="G192" s="31"/>
      <c r="H192" s="31"/>
      <c r="I192" s="31"/>
      <c r="J192" s="31"/>
      <c r="K192" s="31"/>
      <c r="L192" s="32"/>
      <c r="M192" s="164"/>
      <c r="N192" s="165"/>
      <c r="O192" s="52"/>
      <c r="P192" s="52"/>
      <c r="Q192" s="52"/>
      <c r="R192" s="52"/>
      <c r="S192" s="52"/>
      <c r="T192" s="53"/>
      <c r="U192" s="31"/>
      <c r="V192" s="31"/>
      <c r="W192" s="31"/>
      <c r="X192" s="31"/>
      <c r="Y192" s="31"/>
      <c r="Z192" s="31"/>
      <c r="AA192" s="31"/>
      <c r="AB192" s="31"/>
      <c r="AC192" s="31"/>
      <c r="AD192" s="31"/>
      <c r="AE192" s="31"/>
      <c r="AT192" s="19" t="s">
        <v>158</v>
      </c>
      <c r="AU192" s="19" t="s">
        <v>85</v>
      </c>
    </row>
    <row r="193" spans="2:51" s="13" customFormat="1" ht="12">
      <c r="B193" s="149"/>
      <c r="D193" s="150" t="s">
        <v>154</v>
      </c>
      <c r="E193" s="151" t="s">
        <v>3</v>
      </c>
      <c r="F193" s="152" t="s">
        <v>1841</v>
      </c>
      <c r="H193" s="151" t="s">
        <v>3</v>
      </c>
      <c r="L193" s="149"/>
      <c r="M193" s="153"/>
      <c r="N193" s="154"/>
      <c r="O193" s="154"/>
      <c r="P193" s="154"/>
      <c r="Q193" s="154"/>
      <c r="R193" s="154"/>
      <c r="S193" s="154"/>
      <c r="T193" s="155"/>
      <c r="AT193" s="151" t="s">
        <v>154</v>
      </c>
      <c r="AU193" s="151" t="s">
        <v>85</v>
      </c>
      <c r="AV193" s="13" t="s">
        <v>83</v>
      </c>
      <c r="AW193" s="13" t="s">
        <v>37</v>
      </c>
      <c r="AX193" s="13" t="s">
        <v>75</v>
      </c>
      <c r="AY193" s="151" t="s">
        <v>144</v>
      </c>
    </row>
    <row r="194" spans="2:51" s="14" customFormat="1" ht="22.5">
      <c r="B194" s="156"/>
      <c r="D194" s="150" t="s">
        <v>154</v>
      </c>
      <c r="E194" s="157" t="s">
        <v>3</v>
      </c>
      <c r="F194" s="158" t="s">
        <v>1848</v>
      </c>
      <c r="H194" s="159">
        <f>(0.2*6+1+1+0.65+0.25+0.5+0.35+0.65+0.2*2+0.35+0.2+0.2*5+1.4+1.7+1.4)*1.2</f>
        <v>14.459999999999997</v>
      </c>
      <c r="L194" s="156"/>
      <c r="M194" s="160"/>
      <c r="N194" s="161"/>
      <c r="O194" s="161"/>
      <c r="P194" s="161"/>
      <c r="Q194" s="161"/>
      <c r="R194" s="161"/>
      <c r="S194" s="161"/>
      <c r="T194" s="162"/>
      <c r="AT194" s="157" t="s">
        <v>154</v>
      </c>
      <c r="AU194" s="157" t="s">
        <v>85</v>
      </c>
      <c r="AV194" s="14" t="s">
        <v>85</v>
      </c>
      <c r="AW194" s="14" t="s">
        <v>37</v>
      </c>
      <c r="AX194" s="14" t="s">
        <v>83</v>
      </c>
      <c r="AY194" s="157" t="s">
        <v>144</v>
      </c>
    </row>
    <row r="195" spans="1:65" s="2" customFormat="1" ht="14.45" customHeight="1">
      <c r="A195" s="31"/>
      <c r="B195" s="136"/>
      <c r="C195" s="137" t="s">
        <v>241</v>
      </c>
      <c r="D195" s="137" t="s">
        <v>147</v>
      </c>
      <c r="E195" s="138" t="s">
        <v>976</v>
      </c>
      <c r="F195" s="139" t="s">
        <v>977</v>
      </c>
      <c r="G195" s="140" t="s">
        <v>201</v>
      </c>
      <c r="H195" s="141">
        <f>H198</f>
        <v>2</v>
      </c>
      <c r="I195" s="142"/>
      <c r="J195" s="142">
        <f>ROUND(I195*H195,2)</f>
        <v>0</v>
      </c>
      <c r="K195" s="139" t="s">
        <v>157</v>
      </c>
      <c r="L195" s="32"/>
      <c r="M195" s="143" t="s">
        <v>3</v>
      </c>
      <c r="N195" s="144" t="s">
        <v>46</v>
      </c>
      <c r="O195" s="145">
        <v>0.832</v>
      </c>
      <c r="P195" s="145">
        <f>O195*H195</f>
        <v>1.664</v>
      </c>
      <c r="Q195" s="145">
        <v>0.00224</v>
      </c>
      <c r="R195" s="145">
        <f>Q195*H195</f>
        <v>0.00448</v>
      </c>
      <c r="S195" s="145">
        <v>0</v>
      </c>
      <c r="T195" s="146">
        <f>S195*H195</f>
        <v>0</v>
      </c>
      <c r="U195" s="31"/>
      <c r="V195" s="31"/>
      <c r="W195" s="31"/>
      <c r="X195" s="31"/>
      <c r="Y195" s="31"/>
      <c r="Z195" s="31"/>
      <c r="AA195" s="31"/>
      <c r="AB195" s="31"/>
      <c r="AC195" s="31"/>
      <c r="AD195" s="31"/>
      <c r="AE195" s="31"/>
      <c r="AR195" s="147" t="s">
        <v>218</v>
      </c>
      <c r="AT195" s="147" t="s">
        <v>147</v>
      </c>
      <c r="AU195" s="147" t="s">
        <v>85</v>
      </c>
      <c r="AY195" s="19" t="s">
        <v>144</v>
      </c>
      <c r="BE195" s="148">
        <f>IF(N195="základní",J195,0)</f>
        <v>0</v>
      </c>
      <c r="BF195" s="148">
        <f>IF(N195="snížená",J195,0)</f>
        <v>0</v>
      </c>
      <c r="BG195" s="148">
        <f>IF(N195="zákl. přenesená",J195,0)</f>
        <v>0</v>
      </c>
      <c r="BH195" s="148">
        <f>IF(N195="sníž. přenesená",J195,0)</f>
        <v>0</v>
      </c>
      <c r="BI195" s="148">
        <f>IF(N195="nulová",J195,0)</f>
        <v>0</v>
      </c>
      <c r="BJ195" s="19" t="s">
        <v>83</v>
      </c>
      <c r="BK195" s="148">
        <f>ROUND(I195*H195,2)</f>
        <v>0</v>
      </c>
      <c r="BL195" s="19" t="s">
        <v>218</v>
      </c>
      <c r="BM195" s="147" t="s">
        <v>978</v>
      </c>
    </row>
    <row r="196" spans="1:47" s="2" customFormat="1" ht="68.25">
      <c r="A196" s="31"/>
      <c r="B196" s="32"/>
      <c r="C196" s="31"/>
      <c r="D196" s="150" t="s">
        <v>158</v>
      </c>
      <c r="E196" s="31"/>
      <c r="F196" s="163" t="s">
        <v>975</v>
      </c>
      <c r="G196" s="31"/>
      <c r="H196" s="31"/>
      <c r="I196" s="31"/>
      <c r="J196" s="31"/>
      <c r="K196" s="31"/>
      <c r="L196" s="32"/>
      <c r="M196" s="164"/>
      <c r="N196" s="165"/>
      <c r="O196" s="52"/>
      <c r="P196" s="52"/>
      <c r="Q196" s="52"/>
      <c r="R196" s="52"/>
      <c r="S196" s="52"/>
      <c r="T196" s="53"/>
      <c r="U196" s="31"/>
      <c r="V196" s="31"/>
      <c r="W196" s="31"/>
      <c r="X196" s="31"/>
      <c r="Y196" s="31"/>
      <c r="Z196" s="31"/>
      <c r="AA196" s="31"/>
      <c r="AB196" s="31"/>
      <c r="AC196" s="31"/>
      <c r="AD196" s="31"/>
      <c r="AE196" s="31"/>
      <c r="AT196" s="19" t="s">
        <v>158</v>
      </c>
      <c r="AU196" s="19" t="s">
        <v>85</v>
      </c>
    </row>
    <row r="197" spans="2:51" s="13" customFormat="1" ht="12">
      <c r="B197" s="149"/>
      <c r="D197" s="150" t="s">
        <v>154</v>
      </c>
      <c r="E197" s="151" t="s">
        <v>3</v>
      </c>
      <c r="F197" s="152" t="s">
        <v>949</v>
      </c>
      <c r="H197" s="151" t="s">
        <v>3</v>
      </c>
      <c r="L197" s="149"/>
      <c r="M197" s="153"/>
      <c r="N197" s="154"/>
      <c r="O197" s="154"/>
      <c r="P197" s="154"/>
      <c r="Q197" s="154"/>
      <c r="R197" s="154"/>
      <c r="S197" s="154"/>
      <c r="T197" s="155"/>
      <c r="AT197" s="151" t="s">
        <v>154</v>
      </c>
      <c r="AU197" s="151" t="s">
        <v>85</v>
      </c>
      <c r="AV197" s="13" t="s">
        <v>83</v>
      </c>
      <c r="AW197" s="13" t="s">
        <v>37</v>
      </c>
      <c r="AX197" s="13" t="s">
        <v>75</v>
      </c>
      <c r="AY197" s="151" t="s">
        <v>144</v>
      </c>
    </row>
    <row r="198" spans="2:51" s="14" customFormat="1" ht="12">
      <c r="B198" s="156"/>
      <c r="D198" s="150" t="s">
        <v>154</v>
      </c>
      <c r="E198" s="157" t="s">
        <v>3</v>
      </c>
      <c r="F198" s="158" t="s">
        <v>1849</v>
      </c>
      <c r="H198" s="159">
        <v>2</v>
      </c>
      <c r="L198" s="156"/>
      <c r="M198" s="160"/>
      <c r="N198" s="161"/>
      <c r="O198" s="161"/>
      <c r="P198" s="161"/>
      <c r="Q198" s="161"/>
      <c r="R198" s="161"/>
      <c r="S198" s="161"/>
      <c r="T198" s="162"/>
      <c r="AT198" s="157" t="s">
        <v>154</v>
      </c>
      <c r="AU198" s="157" t="s">
        <v>85</v>
      </c>
      <c r="AV198" s="14" t="s">
        <v>85</v>
      </c>
      <c r="AW198" s="14" t="s">
        <v>37</v>
      </c>
      <c r="AX198" s="14" t="s">
        <v>83</v>
      </c>
      <c r="AY198" s="157" t="s">
        <v>144</v>
      </c>
    </row>
    <row r="199" spans="1:65" s="2" customFormat="1" ht="14.45" customHeight="1">
      <c r="A199" s="31"/>
      <c r="B199" s="136"/>
      <c r="C199" s="137" t="s">
        <v>248</v>
      </c>
      <c r="D199" s="137" t="s">
        <v>147</v>
      </c>
      <c r="E199" s="138" t="s">
        <v>979</v>
      </c>
      <c r="F199" s="139" t="s">
        <v>980</v>
      </c>
      <c r="G199" s="140" t="s">
        <v>201</v>
      </c>
      <c r="H199" s="141">
        <v>4</v>
      </c>
      <c r="I199" s="142"/>
      <c r="J199" s="142">
        <f>ROUND(I199*H199,2)</f>
        <v>0</v>
      </c>
      <c r="K199" s="139" t="s">
        <v>157</v>
      </c>
      <c r="L199" s="32"/>
      <c r="M199" s="143" t="s">
        <v>3</v>
      </c>
      <c r="N199" s="144" t="s">
        <v>46</v>
      </c>
      <c r="O199" s="145">
        <v>0.314</v>
      </c>
      <c r="P199" s="145">
        <f>O199*H199</f>
        <v>1.256</v>
      </c>
      <c r="Q199" s="145">
        <v>0.0019</v>
      </c>
      <c r="R199" s="145">
        <f>Q199*H199</f>
        <v>0.0076</v>
      </c>
      <c r="S199" s="145">
        <v>0</v>
      </c>
      <c r="T199" s="146">
        <f>S199*H199</f>
        <v>0</v>
      </c>
      <c r="U199" s="31"/>
      <c r="V199" s="31"/>
      <c r="W199" s="31"/>
      <c r="X199" s="31"/>
      <c r="Y199" s="31"/>
      <c r="Z199" s="31"/>
      <c r="AA199" s="31"/>
      <c r="AB199" s="31"/>
      <c r="AC199" s="31"/>
      <c r="AD199" s="31"/>
      <c r="AE199" s="31"/>
      <c r="AR199" s="147" t="s">
        <v>218</v>
      </c>
      <c r="AT199" s="147" t="s">
        <v>147</v>
      </c>
      <c r="AU199" s="147" t="s">
        <v>85</v>
      </c>
      <c r="AY199" s="19" t="s">
        <v>144</v>
      </c>
      <c r="BE199" s="148">
        <f>IF(N199="základní",J199,0)</f>
        <v>0</v>
      </c>
      <c r="BF199" s="148">
        <f>IF(N199="snížená",J199,0)</f>
        <v>0</v>
      </c>
      <c r="BG199" s="148">
        <f>IF(N199="zákl. přenesená",J199,0)</f>
        <v>0</v>
      </c>
      <c r="BH199" s="148">
        <f>IF(N199="sníž. přenesená",J199,0)</f>
        <v>0</v>
      </c>
      <c r="BI199" s="148">
        <f>IF(N199="nulová",J199,0)</f>
        <v>0</v>
      </c>
      <c r="BJ199" s="19" t="s">
        <v>83</v>
      </c>
      <c r="BK199" s="148">
        <f>ROUND(I199*H199,2)</f>
        <v>0</v>
      </c>
      <c r="BL199" s="19" t="s">
        <v>218</v>
      </c>
      <c r="BM199" s="147" t="s">
        <v>981</v>
      </c>
    </row>
    <row r="200" spans="1:47" s="2" customFormat="1" ht="68.25">
      <c r="A200" s="31"/>
      <c r="B200" s="32"/>
      <c r="C200" s="31"/>
      <c r="D200" s="150" t="s">
        <v>158</v>
      </c>
      <c r="E200" s="31"/>
      <c r="F200" s="163" t="s">
        <v>975</v>
      </c>
      <c r="G200" s="31"/>
      <c r="H200" s="31"/>
      <c r="I200" s="31"/>
      <c r="J200" s="31"/>
      <c r="K200" s="31"/>
      <c r="L200" s="32"/>
      <c r="M200" s="164"/>
      <c r="N200" s="165"/>
      <c r="O200" s="52"/>
      <c r="P200" s="52"/>
      <c r="Q200" s="52"/>
      <c r="R200" s="52"/>
      <c r="S200" s="52"/>
      <c r="T200" s="53"/>
      <c r="U200" s="31"/>
      <c r="V200" s="31"/>
      <c r="W200" s="31"/>
      <c r="X200" s="31"/>
      <c r="Y200" s="31"/>
      <c r="Z200" s="31"/>
      <c r="AA200" s="31"/>
      <c r="AB200" s="31"/>
      <c r="AC200" s="31"/>
      <c r="AD200" s="31"/>
      <c r="AE200" s="31"/>
      <c r="AT200" s="19" t="s">
        <v>158</v>
      </c>
      <c r="AU200" s="19" t="s">
        <v>85</v>
      </c>
    </row>
    <row r="201" spans="2:51" s="13" customFormat="1" ht="12">
      <c r="B201" s="149"/>
      <c r="D201" s="150" t="s">
        <v>154</v>
      </c>
      <c r="E201" s="151" t="s">
        <v>3</v>
      </c>
      <c r="F201" s="152" t="s">
        <v>949</v>
      </c>
      <c r="H201" s="151" t="s">
        <v>3</v>
      </c>
      <c r="L201" s="149"/>
      <c r="M201" s="153"/>
      <c r="N201" s="154"/>
      <c r="O201" s="154"/>
      <c r="P201" s="154"/>
      <c r="Q201" s="154"/>
      <c r="R201" s="154"/>
      <c r="S201" s="154"/>
      <c r="T201" s="155"/>
      <c r="AT201" s="151" t="s">
        <v>154</v>
      </c>
      <c r="AU201" s="151" t="s">
        <v>85</v>
      </c>
      <c r="AV201" s="13" t="s">
        <v>83</v>
      </c>
      <c r="AW201" s="13" t="s">
        <v>37</v>
      </c>
      <c r="AX201" s="13" t="s">
        <v>75</v>
      </c>
      <c r="AY201" s="151" t="s">
        <v>144</v>
      </c>
    </row>
    <row r="202" spans="2:51" s="14" customFormat="1" ht="12">
      <c r="B202" s="156"/>
      <c r="D202" s="150" t="s">
        <v>154</v>
      </c>
      <c r="E202" s="157" t="s">
        <v>3</v>
      </c>
      <c r="F202" s="158">
        <v>4</v>
      </c>
      <c r="H202" s="159">
        <v>4</v>
      </c>
      <c r="L202" s="156"/>
      <c r="M202" s="160"/>
      <c r="N202" s="161"/>
      <c r="O202" s="161"/>
      <c r="P202" s="161"/>
      <c r="Q202" s="161"/>
      <c r="R202" s="161"/>
      <c r="S202" s="161"/>
      <c r="T202" s="162"/>
      <c r="AT202" s="157" t="s">
        <v>154</v>
      </c>
      <c r="AU202" s="157" t="s">
        <v>85</v>
      </c>
      <c r="AV202" s="14" t="s">
        <v>85</v>
      </c>
      <c r="AW202" s="14" t="s">
        <v>37</v>
      </c>
      <c r="AX202" s="14" t="s">
        <v>83</v>
      </c>
      <c r="AY202" s="157" t="s">
        <v>144</v>
      </c>
    </row>
    <row r="203" spans="1:65" s="2" customFormat="1" ht="24.2" customHeight="1">
      <c r="A203" s="31"/>
      <c r="B203" s="136"/>
      <c r="C203" s="137" t="s">
        <v>252</v>
      </c>
      <c r="D203" s="137" t="s">
        <v>147</v>
      </c>
      <c r="E203" s="138" t="s">
        <v>982</v>
      </c>
      <c r="F203" s="139" t="s">
        <v>983</v>
      </c>
      <c r="G203" s="140" t="s">
        <v>156</v>
      </c>
      <c r="H203" s="141">
        <f>H206</f>
        <v>11</v>
      </c>
      <c r="I203" s="142"/>
      <c r="J203" s="142">
        <f>ROUND(I203*H203,2)</f>
        <v>0</v>
      </c>
      <c r="K203" s="139" t="s">
        <v>157</v>
      </c>
      <c r="L203" s="32"/>
      <c r="M203" s="143" t="s">
        <v>3</v>
      </c>
      <c r="N203" s="144" t="s">
        <v>46</v>
      </c>
      <c r="O203" s="145">
        <v>0.174</v>
      </c>
      <c r="P203" s="145">
        <f>O203*H203</f>
        <v>1.914</v>
      </c>
      <c r="Q203" s="145">
        <v>0</v>
      </c>
      <c r="R203" s="145">
        <f>Q203*H203</f>
        <v>0</v>
      </c>
      <c r="S203" s="145">
        <v>0</v>
      </c>
      <c r="T203" s="146">
        <f>S203*H203</f>
        <v>0</v>
      </c>
      <c r="U203" s="31"/>
      <c r="V203" s="31"/>
      <c r="W203" s="31"/>
      <c r="X203" s="31"/>
      <c r="Y203" s="31"/>
      <c r="Z203" s="31"/>
      <c r="AA203" s="31"/>
      <c r="AB203" s="31"/>
      <c r="AC203" s="31"/>
      <c r="AD203" s="31"/>
      <c r="AE203" s="31"/>
      <c r="AR203" s="147" t="s">
        <v>218</v>
      </c>
      <c r="AT203" s="147" t="s">
        <v>147</v>
      </c>
      <c r="AU203" s="147" t="s">
        <v>85</v>
      </c>
      <c r="AY203" s="19" t="s">
        <v>144</v>
      </c>
      <c r="BE203" s="148">
        <f>IF(N203="základní",J203,0)</f>
        <v>0</v>
      </c>
      <c r="BF203" s="148">
        <f>IF(N203="snížená",J203,0)</f>
        <v>0</v>
      </c>
      <c r="BG203" s="148">
        <f>IF(N203="zákl. přenesená",J203,0)</f>
        <v>0</v>
      </c>
      <c r="BH203" s="148">
        <f>IF(N203="sníž. přenesená",J203,0)</f>
        <v>0</v>
      </c>
      <c r="BI203" s="148">
        <f>IF(N203="nulová",J203,0)</f>
        <v>0</v>
      </c>
      <c r="BJ203" s="19" t="s">
        <v>83</v>
      </c>
      <c r="BK203" s="148">
        <f>ROUND(I203*H203,2)</f>
        <v>0</v>
      </c>
      <c r="BL203" s="19" t="s">
        <v>218</v>
      </c>
      <c r="BM203" s="147" t="s">
        <v>984</v>
      </c>
    </row>
    <row r="204" spans="1:47" s="2" customFormat="1" ht="58.5">
      <c r="A204" s="31"/>
      <c r="B204" s="32"/>
      <c r="C204" s="31"/>
      <c r="D204" s="150" t="s">
        <v>158</v>
      </c>
      <c r="E204" s="31"/>
      <c r="F204" s="163" t="s">
        <v>985</v>
      </c>
      <c r="G204" s="31"/>
      <c r="H204" s="31"/>
      <c r="I204" s="31"/>
      <c r="J204" s="31"/>
      <c r="K204" s="31"/>
      <c r="L204" s="32"/>
      <c r="M204" s="164"/>
      <c r="N204" s="165"/>
      <c r="O204" s="52"/>
      <c r="P204" s="52"/>
      <c r="Q204" s="52"/>
      <c r="R204" s="52"/>
      <c r="S204" s="52"/>
      <c r="T204" s="53"/>
      <c r="U204" s="31"/>
      <c r="V204" s="31"/>
      <c r="W204" s="31"/>
      <c r="X204" s="31"/>
      <c r="Y204" s="31"/>
      <c r="Z204" s="31"/>
      <c r="AA204" s="31"/>
      <c r="AB204" s="31"/>
      <c r="AC204" s="31"/>
      <c r="AD204" s="31"/>
      <c r="AE204" s="31"/>
      <c r="AT204" s="19" t="s">
        <v>158</v>
      </c>
      <c r="AU204" s="19" t="s">
        <v>85</v>
      </c>
    </row>
    <row r="205" spans="2:51" s="13" customFormat="1" ht="12">
      <c r="B205" s="149"/>
      <c r="D205" s="150" t="s">
        <v>154</v>
      </c>
      <c r="E205" s="151" t="s">
        <v>3</v>
      </c>
      <c r="F205" s="152" t="s">
        <v>949</v>
      </c>
      <c r="H205" s="151" t="s">
        <v>3</v>
      </c>
      <c r="L205" s="149"/>
      <c r="M205" s="153"/>
      <c r="N205" s="154"/>
      <c r="O205" s="154"/>
      <c r="P205" s="154"/>
      <c r="Q205" s="154"/>
      <c r="R205" s="154"/>
      <c r="S205" s="154"/>
      <c r="T205" s="155"/>
      <c r="AT205" s="151" t="s">
        <v>154</v>
      </c>
      <c r="AU205" s="151" t="s">
        <v>85</v>
      </c>
      <c r="AV205" s="13" t="s">
        <v>83</v>
      </c>
      <c r="AW205" s="13" t="s">
        <v>37</v>
      </c>
      <c r="AX205" s="13" t="s">
        <v>75</v>
      </c>
      <c r="AY205" s="151" t="s">
        <v>144</v>
      </c>
    </row>
    <row r="206" spans="2:51" s="14" customFormat="1" ht="12">
      <c r="B206" s="156"/>
      <c r="D206" s="150" t="s">
        <v>154</v>
      </c>
      <c r="E206" s="157" t="s">
        <v>3</v>
      </c>
      <c r="F206" s="158" t="s">
        <v>1820</v>
      </c>
      <c r="H206" s="159">
        <v>11</v>
      </c>
      <c r="L206" s="156"/>
      <c r="M206" s="160"/>
      <c r="N206" s="161"/>
      <c r="O206" s="161"/>
      <c r="P206" s="161"/>
      <c r="Q206" s="161"/>
      <c r="R206" s="161"/>
      <c r="S206" s="161"/>
      <c r="T206" s="162"/>
      <c r="AT206" s="157" t="s">
        <v>154</v>
      </c>
      <c r="AU206" s="157" t="s">
        <v>85</v>
      </c>
      <c r="AV206" s="14" t="s">
        <v>85</v>
      </c>
      <c r="AW206" s="14" t="s">
        <v>37</v>
      </c>
      <c r="AX206" s="14" t="s">
        <v>83</v>
      </c>
      <c r="AY206" s="157" t="s">
        <v>144</v>
      </c>
    </row>
    <row r="207" spans="1:65" s="2" customFormat="1" ht="24.2" customHeight="1">
      <c r="A207" s="31"/>
      <c r="B207" s="136"/>
      <c r="C207" s="137" t="s">
        <v>257</v>
      </c>
      <c r="D207" s="137" t="s">
        <v>147</v>
      </c>
      <c r="E207" s="138" t="s">
        <v>986</v>
      </c>
      <c r="F207" s="139" t="s">
        <v>987</v>
      </c>
      <c r="G207" s="140" t="s">
        <v>156</v>
      </c>
      <c r="H207" s="141">
        <v>6</v>
      </c>
      <c r="I207" s="142"/>
      <c r="J207" s="142">
        <f>ROUND(I207*H207,2)</f>
        <v>0</v>
      </c>
      <c r="K207" s="139" t="s">
        <v>157</v>
      </c>
      <c r="L207" s="32"/>
      <c r="M207" s="143" t="s">
        <v>3</v>
      </c>
      <c r="N207" s="144" t="s">
        <v>46</v>
      </c>
      <c r="O207" s="145">
        <v>0.259</v>
      </c>
      <c r="P207" s="145">
        <f>O207*H207</f>
        <v>1.554</v>
      </c>
      <c r="Q207" s="145">
        <v>0</v>
      </c>
      <c r="R207" s="145">
        <f>Q207*H207</f>
        <v>0</v>
      </c>
      <c r="S207" s="145">
        <v>0</v>
      </c>
      <c r="T207" s="146">
        <f>S207*H207</f>
        <v>0</v>
      </c>
      <c r="U207" s="31"/>
      <c r="V207" s="31"/>
      <c r="W207" s="31"/>
      <c r="X207" s="31"/>
      <c r="Y207" s="31"/>
      <c r="Z207" s="31"/>
      <c r="AA207" s="31"/>
      <c r="AB207" s="31"/>
      <c r="AC207" s="31"/>
      <c r="AD207" s="31"/>
      <c r="AE207" s="31"/>
      <c r="AR207" s="147" t="s">
        <v>218</v>
      </c>
      <c r="AT207" s="147" t="s">
        <v>147</v>
      </c>
      <c r="AU207" s="147" t="s">
        <v>85</v>
      </c>
      <c r="AY207" s="19" t="s">
        <v>144</v>
      </c>
      <c r="BE207" s="148">
        <f>IF(N207="základní",J207,0)</f>
        <v>0</v>
      </c>
      <c r="BF207" s="148">
        <f>IF(N207="snížená",J207,0)</f>
        <v>0</v>
      </c>
      <c r="BG207" s="148">
        <f>IF(N207="zákl. přenesená",J207,0)</f>
        <v>0</v>
      </c>
      <c r="BH207" s="148">
        <f>IF(N207="sníž. přenesená",J207,0)</f>
        <v>0</v>
      </c>
      <c r="BI207" s="148">
        <f>IF(N207="nulová",J207,0)</f>
        <v>0</v>
      </c>
      <c r="BJ207" s="19" t="s">
        <v>83</v>
      </c>
      <c r="BK207" s="148">
        <f>ROUND(I207*H207,2)</f>
        <v>0</v>
      </c>
      <c r="BL207" s="19" t="s">
        <v>218</v>
      </c>
      <c r="BM207" s="147" t="s">
        <v>988</v>
      </c>
    </row>
    <row r="208" spans="1:47" s="2" customFormat="1" ht="58.5">
      <c r="A208" s="31"/>
      <c r="B208" s="32"/>
      <c r="C208" s="31"/>
      <c r="D208" s="150" t="s">
        <v>158</v>
      </c>
      <c r="E208" s="31"/>
      <c r="F208" s="163" t="s">
        <v>985</v>
      </c>
      <c r="G208" s="31"/>
      <c r="H208" s="31"/>
      <c r="I208" s="31"/>
      <c r="J208" s="31"/>
      <c r="K208" s="31"/>
      <c r="L208" s="32"/>
      <c r="M208" s="164"/>
      <c r="N208" s="165"/>
      <c r="O208" s="52"/>
      <c r="P208" s="52"/>
      <c r="Q208" s="52"/>
      <c r="R208" s="52"/>
      <c r="S208" s="52"/>
      <c r="T208" s="53"/>
      <c r="U208" s="31"/>
      <c r="V208" s="31"/>
      <c r="W208" s="31"/>
      <c r="X208" s="31"/>
      <c r="Y208" s="31"/>
      <c r="Z208" s="31"/>
      <c r="AA208" s="31"/>
      <c r="AB208" s="31"/>
      <c r="AC208" s="31"/>
      <c r="AD208" s="31"/>
      <c r="AE208" s="31"/>
      <c r="AT208" s="19" t="s">
        <v>158</v>
      </c>
      <c r="AU208" s="19" t="s">
        <v>85</v>
      </c>
    </row>
    <row r="209" spans="2:51" s="13" customFormat="1" ht="12">
      <c r="B209" s="149"/>
      <c r="D209" s="150" t="s">
        <v>154</v>
      </c>
      <c r="E209" s="151" t="s">
        <v>3</v>
      </c>
      <c r="F209" s="152" t="s">
        <v>949</v>
      </c>
      <c r="H209" s="151" t="s">
        <v>3</v>
      </c>
      <c r="L209" s="149"/>
      <c r="M209" s="153"/>
      <c r="N209" s="154"/>
      <c r="O209" s="154"/>
      <c r="P209" s="154"/>
      <c r="Q209" s="154"/>
      <c r="R209" s="154"/>
      <c r="S209" s="154"/>
      <c r="T209" s="155"/>
      <c r="AT209" s="151" t="s">
        <v>154</v>
      </c>
      <c r="AU209" s="151" t="s">
        <v>85</v>
      </c>
      <c r="AV209" s="13" t="s">
        <v>83</v>
      </c>
      <c r="AW209" s="13" t="s">
        <v>37</v>
      </c>
      <c r="AX209" s="13" t="s">
        <v>75</v>
      </c>
      <c r="AY209" s="151" t="s">
        <v>144</v>
      </c>
    </row>
    <row r="210" spans="2:51" s="14" customFormat="1" ht="12">
      <c r="B210" s="156"/>
      <c r="D210" s="150" t="s">
        <v>154</v>
      </c>
      <c r="E210" s="157" t="s">
        <v>3</v>
      </c>
      <c r="F210" s="158" t="s">
        <v>179</v>
      </c>
      <c r="H210" s="159">
        <v>6</v>
      </c>
      <c r="L210" s="156"/>
      <c r="M210" s="160"/>
      <c r="N210" s="161"/>
      <c r="O210" s="161"/>
      <c r="P210" s="161"/>
      <c r="Q210" s="161"/>
      <c r="R210" s="161"/>
      <c r="S210" s="161"/>
      <c r="T210" s="162"/>
      <c r="AT210" s="157" t="s">
        <v>154</v>
      </c>
      <c r="AU210" s="157" t="s">
        <v>85</v>
      </c>
      <c r="AV210" s="14" t="s">
        <v>85</v>
      </c>
      <c r="AW210" s="14" t="s">
        <v>37</v>
      </c>
      <c r="AX210" s="14" t="s">
        <v>83</v>
      </c>
      <c r="AY210" s="157" t="s">
        <v>144</v>
      </c>
    </row>
    <row r="211" spans="1:65" s="2" customFormat="1" ht="14.45" customHeight="1">
      <c r="A211" s="31"/>
      <c r="B211" s="136"/>
      <c r="C211" s="137" t="s">
        <v>262</v>
      </c>
      <c r="D211" s="137" t="s">
        <v>147</v>
      </c>
      <c r="E211" s="138" t="s">
        <v>989</v>
      </c>
      <c r="F211" s="139" t="s">
        <v>990</v>
      </c>
      <c r="G211" s="140" t="s">
        <v>156</v>
      </c>
      <c r="H211" s="141">
        <v>1</v>
      </c>
      <c r="I211" s="142"/>
      <c r="J211" s="142">
        <f>ROUND(I211*H211,2)</f>
        <v>0</v>
      </c>
      <c r="K211" s="139" t="s">
        <v>157</v>
      </c>
      <c r="L211" s="32"/>
      <c r="M211" s="143" t="s">
        <v>3</v>
      </c>
      <c r="N211" s="144" t="s">
        <v>46</v>
      </c>
      <c r="O211" s="145">
        <v>0.113</v>
      </c>
      <c r="P211" s="145">
        <f>O211*H211</f>
        <v>0.113</v>
      </c>
      <c r="Q211" s="145">
        <v>0.00018</v>
      </c>
      <c r="R211" s="145">
        <f>Q211*H211</f>
        <v>0.00018</v>
      </c>
      <c r="S211" s="145">
        <v>0</v>
      </c>
      <c r="T211" s="146">
        <f>S211*H211</f>
        <v>0</v>
      </c>
      <c r="U211" s="31"/>
      <c r="V211" s="31"/>
      <c r="W211" s="31"/>
      <c r="X211" s="31"/>
      <c r="Y211" s="31"/>
      <c r="Z211" s="31"/>
      <c r="AA211" s="31"/>
      <c r="AB211" s="31"/>
      <c r="AC211" s="31"/>
      <c r="AD211" s="31"/>
      <c r="AE211" s="31"/>
      <c r="AR211" s="147" t="s">
        <v>218</v>
      </c>
      <c r="AT211" s="147" t="s">
        <v>147</v>
      </c>
      <c r="AU211" s="147" t="s">
        <v>85</v>
      </c>
      <c r="AY211" s="19" t="s">
        <v>144</v>
      </c>
      <c r="BE211" s="148">
        <f>IF(N211="základní",J211,0)</f>
        <v>0</v>
      </c>
      <c r="BF211" s="148">
        <f>IF(N211="snížená",J211,0)</f>
        <v>0</v>
      </c>
      <c r="BG211" s="148">
        <f>IF(N211="zákl. přenesená",J211,0)</f>
        <v>0</v>
      </c>
      <c r="BH211" s="148">
        <f>IF(N211="sníž. přenesená",J211,0)</f>
        <v>0</v>
      </c>
      <c r="BI211" s="148">
        <f>IF(N211="nulová",J211,0)</f>
        <v>0</v>
      </c>
      <c r="BJ211" s="19" t="s">
        <v>83</v>
      </c>
      <c r="BK211" s="148">
        <f>ROUND(I211*H211,2)</f>
        <v>0</v>
      </c>
      <c r="BL211" s="19" t="s">
        <v>218</v>
      </c>
      <c r="BM211" s="147" t="s">
        <v>991</v>
      </c>
    </row>
    <row r="212" spans="2:51" s="13" customFormat="1" ht="12">
      <c r="B212" s="149"/>
      <c r="D212" s="150" t="s">
        <v>154</v>
      </c>
      <c r="E212" s="151" t="s">
        <v>3</v>
      </c>
      <c r="F212" s="152" t="s">
        <v>949</v>
      </c>
      <c r="H212" s="151" t="s">
        <v>3</v>
      </c>
      <c r="L212" s="149"/>
      <c r="M212" s="153"/>
      <c r="N212" s="154"/>
      <c r="O212" s="154"/>
      <c r="P212" s="154"/>
      <c r="Q212" s="154"/>
      <c r="R212" s="154"/>
      <c r="S212" s="154"/>
      <c r="T212" s="155"/>
      <c r="AT212" s="151" t="s">
        <v>154</v>
      </c>
      <c r="AU212" s="151" t="s">
        <v>85</v>
      </c>
      <c r="AV212" s="13" t="s">
        <v>83</v>
      </c>
      <c r="AW212" s="13" t="s">
        <v>37</v>
      </c>
      <c r="AX212" s="13" t="s">
        <v>75</v>
      </c>
      <c r="AY212" s="151" t="s">
        <v>144</v>
      </c>
    </row>
    <row r="213" spans="2:51" s="14" customFormat="1" ht="12">
      <c r="B213" s="156"/>
      <c r="D213" s="150" t="s">
        <v>154</v>
      </c>
      <c r="E213" s="157" t="s">
        <v>3</v>
      </c>
      <c r="F213" s="158" t="s">
        <v>992</v>
      </c>
      <c r="H213" s="159">
        <v>1</v>
      </c>
      <c r="L213" s="156"/>
      <c r="M213" s="160"/>
      <c r="N213" s="161"/>
      <c r="O213" s="161"/>
      <c r="P213" s="161"/>
      <c r="Q213" s="161"/>
      <c r="R213" s="161"/>
      <c r="S213" s="161"/>
      <c r="T213" s="162"/>
      <c r="AT213" s="157" t="s">
        <v>154</v>
      </c>
      <c r="AU213" s="157" t="s">
        <v>85</v>
      </c>
      <c r="AV213" s="14" t="s">
        <v>85</v>
      </c>
      <c r="AW213" s="14" t="s">
        <v>37</v>
      </c>
      <c r="AX213" s="14" t="s">
        <v>83</v>
      </c>
      <c r="AY213" s="157" t="s">
        <v>144</v>
      </c>
    </row>
    <row r="214" spans="1:65" s="2" customFormat="1" ht="24.2" customHeight="1">
      <c r="A214" s="31"/>
      <c r="B214" s="136"/>
      <c r="C214" s="137" t="s">
        <v>266</v>
      </c>
      <c r="D214" s="137" t="s">
        <v>147</v>
      </c>
      <c r="E214" s="138" t="s">
        <v>993</v>
      </c>
      <c r="F214" s="139" t="s">
        <v>994</v>
      </c>
      <c r="G214" s="140" t="s">
        <v>201</v>
      </c>
      <c r="H214" s="141">
        <f>H216</f>
        <v>28</v>
      </c>
      <c r="I214" s="142"/>
      <c r="J214" s="142">
        <f>ROUND(I214*H214,2)</f>
        <v>0</v>
      </c>
      <c r="K214" s="139" t="s">
        <v>157</v>
      </c>
      <c r="L214" s="32"/>
      <c r="M214" s="143" t="s">
        <v>3</v>
      </c>
      <c r="N214" s="144" t="s">
        <v>46</v>
      </c>
      <c r="O214" s="145">
        <v>0.048</v>
      </c>
      <c r="P214" s="145">
        <f>O214*H214</f>
        <v>1.344</v>
      </c>
      <c r="Q214" s="145">
        <v>0</v>
      </c>
      <c r="R214" s="145">
        <f>Q214*H214</f>
        <v>0</v>
      </c>
      <c r="S214" s="145">
        <v>0</v>
      </c>
      <c r="T214" s="146">
        <f>S214*H214</f>
        <v>0</v>
      </c>
      <c r="U214" s="31"/>
      <c r="V214" s="31"/>
      <c r="W214" s="31"/>
      <c r="X214" s="31"/>
      <c r="Y214" s="31"/>
      <c r="Z214" s="31"/>
      <c r="AA214" s="31"/>
      <c r="AB214" s="31"/>
      <c r="AC214" s="31"/>
      <c r="AD214" s="31"/>
      <c r="AE214" s="31"/>
      <c r="AR214" s="147" t="s">
        <v>218</v>
      </c>
      <c r="AT214" s="147" t="s">
        <v>147</v>
      </c>
      <c r="AU214" s="147" t="s">
        <v>85</v>
      </c>
      <c r="AY214" s="19" t="s">
        <v>144</v>
      </c>
      <c r="BE214" s="148">
        <f>IF(N214="základní",J214,0)</f>
        <v>0</v>
      </c>
      <c r="BF214" s="148">
        <f>IF(N214="snížená",J214,0)</f>
        <v>0</v>
      </c>
      <c r="BG214" s="148">
        <f>IF(N214="zákl. přenesená",J214,0)</f>
        <v>0</v>
      </c>
      <c r="BH214" s="148">
        <f>IF(N214="sníž. přenesená",J214,0)</f>
        <v>0</v>
      </c>
      <c r="BI214" s="148">
        <f>IF(N214="nulová",J214,0)</f>
        <v>0</v>
      </c>
      <c r="BJ214" s="19" t="s">
        <v>83</v>
      </c>
      <c r="BK214" s="148">
        <f>ROUND(I214*H214,2)</f>
        <v>0</v>
      </c>
      <c r="BL214" s="19" t="s">
        <v>218</v>
      </c>
      <c r="BM214" s="147" t="s">
        <v>995</v>
      </c>
    </row>
    <row r="215" spans="2:51" s="13" customFormat="1" ht="12">
      <c r="B215" s="149"/>
      <c r="D215" s="150" t="s">
        <v>154</v>
      </c>
      <c r="E215" s="151" t="s">
        <v>3</v>
      </c>
      <c r="F215" s="152" t="s">
        <v>216</v>
      </c>
      <c r="H215" s="151" t="s">
        <v>3</v>
      </c>
      <c r="L215" s="149"/>
      <c r="M215" s="153"/>
      <c r="N215" s="154"/>
      <c r="O215" s="154"/>
      <c r="P215" s="154"/>
      <c r="Q215" s="154"/>
      <c r="R215" s="154"/>
      <c r="S215" s="154"/>
      <c r="T215" s="155"/>
      <c r="AT215" s="151" t="s">
        <v>154</v>
      </c>
      <c r="AU215" s="151" t="s">
        <v>85</v>
      </c>
      <c r="AV215" s="13" t="s">
        <v>83</v>
      </c>
      <c r="AW215" s="13" t="s">
        <v>37</v>
      </c>
      <c r="AX215" s="13" t="s">
        <v>75</v>
      </c>
      <c r="AY215" s="151" t="s">
        <v>144</v>
      </c>
    </row>
    <row r="216" spans="2:51" s="14" customFormat="1" ht="12">
      <c r="B216" s="156"/>
      <c r="D216" s="150" t="s">
        <v>154</v>
      </c>
      <c r="E216" s="157" t="s">
        <v>3</v>
      </c>
      <c r="F216" s="158" t="s">
        <v>1850</v>
      </c>
      <c r="H216" s="159">
        <f>1.5+6+14.5+2+4</f>
        <v>28</v>
      </c>
      <c r="L216" s="156"/>
      <c r="M216" s="160"/>
      <c r="N216" s="161"/>
      <c r="O216" s="161"/>
      <c r="P216" s="161"/>
      <c r="Q216" s="161"/>
      <c r="R216" s="161"/>
      <c r="S216" s="161"/>
      <c r="T216" s="162"/>
      <c r="AT216" s="157" t="s">
        <v>154</v>
      </c>
      <c r="AU216" s="157" t="s">
        <v>85</v>
      </c>
      <c r="AV216" s="14" t="s">
        <v>85</v>
      </c>
      <c r="AW216" s="14" t="s">
        <v>37</v>
      </c>
      <c r="AX216" s="14" t="s">
        <v>83</v>
      </c>
      <c r="AY216" s="157" t="s">
        <v>144</v>
      </c>
    </row>
    <row r="217" spans="1:65" s="2" customFormat="1" ht="37.9" customHeight="1">
      <c r="A217" s="31"/>
      <c r="B217" s="136"/>
      <c r="C217" s="137" t="s">
        <v>272</v>
      </c>
      <c r="D217" s="137" t="s">
        <v>147</v>
      </c>
      <c r="E217" s="138" t="s">
        <v>996</v>
      </c>
      <c r="F217" s="139" t="s">
        <v>997</v>
      </c>
      <c r="G217" s="140" t="s">
        <v>387</v>
      </c>
      <c r="H217" s="141">
        <f>SUM(J183:J214)/100</f>
        <v>0</v>
      </c>
      <c r="I217" s="142"/>
      <c r="J217" s="142">
        <f>ROUND(I217*H217,2)</f>
        <v>0</v>
      </c>
      <c r="K217" s="139" t="s">
        <v>157</v>
      </c>
      <c r="L217" s="32"/>
      <c r="M217" s="143" t="s">
        <v>3</v>
      </c>
      <c r="N217" s="144" t="s">
        <v>46</v>
      </c>
      <c r="O217" s="145">
        <v>0</v>
      </c>
      <c r="P217" s="145">
        <f>O217*H217</f>
        <v>0</v>
      </c>
      <c r="Q217" s="145">
        <v>0</v>
      </c>
      <c r="R217" s="145">
        <f>Q217*H217</f>
        <v>0</v>
      </c>
      <c r="S217" s="145">
        <v>0</v>
      </c>
      <c r="T217" s="146">
        <f>S217*H217</f>
        <v>0</v>
      </c>
      <c r="U217" s="31"/>
      <c r="V217" s="31"/>
      <c r="W217" s="31"/>
      <c r="X217" s="31"/>
      <c r="Y217" s="31"/>
      <c r="Z217" s="31"/>
      <c r="AA217" s="31"/>
      <c r="AB217" s="31"/>
      <c r="AC217" s="31"/>
      <c r="AD217" s="31"/>
      <c r="AE217" s="31"/>
      <c r="AR217" s="147" t="s">
        <v>218</v>
      </c>
      <c r="AT217" s="147" t="s">
        <v>147</v>
      </c>
      <c r="AU217" s="147" t="s">
        <v>85</v>
      </c>
      <c r="AY217" s="19" t="s">
        <v>144</v>
      </c>
      <c r="BE217" s="148">
        <f>IF(N217="základní",J217,0)</f>
        <v>0</v>
      </c>
      <c r="BF217" s="148">
        <f>IF(N217="snížená",J217,0)</f>
        <v>0</v>
      </c>
      <c r="BG217" s="148">
        <f>IF(N217="zákl. přenesená",J217,0)</f>
        <v>0</v>
      </c>
      <c r="BH217" s="148">
        <f>IF(N217="sníž. přenesená",J217,0)</f>
        <v>0</v>
      </c>
      <c r="BI217" s="148">
        <f>IF(N217="nulová",J217,0)</f>
        <v>0</v>
      </c>
      <c r="BJ217" s="19" t="s">
        <v>83</v>
      </c>
      <c r="BK217" s="148">
        <f>ROUND(I217*H217,2)</f>
        <v>0</v>
      </c>
      <c r="BL217" s="19" t="s">
        <v>218</v>
      </c>
      <c r="BM217" s="147" t="s">
        <v>998</v>
      </c>
    </row>
    <row r="218" spans="1:47" s="2" customFormat="1" ht="126.75">
      <c r="A218" s="31"/>
      <c r="B218" s="32"/>
      <c r="C218" s="31"/>
      <c r="D218" s="150" t="s">
        <v>158</v>
      </c>
      <c r="E218" s="31"/>
      <c r="F218" s="163" t="s">
        <v>627</v>
      </c>
      <c r="G218" s="31"/>
      <c r="H218" s="31"/>
      <c r="I218" s="31"/>
      <c r="J218" s="31"/>
      <c r="K218" s="31"/>
      <c r="L218" s="32"/>
      <c r="M218" s="164"/>
      <c r="N218" s="165"/>
      <c r="O218" s="52"/>
      <c r="P218" s="52"/>
      <c r="Q218" s="52"/>
      <c r="R218" s="52"/>
      <c r="S218" s="52"/>
      <c r="T218" s="53"/>
      <c r="U218" s="31"/>
      <c r="V218" s="31"/>
      <c r="W218" s="31"/>
      <c r="X218" s="31"/>
      <c r="Y218" s="31"/>
      <c r="Z218" s="31"/>
      <c r="AA218" s="31"/>
      <c r="AB218" s="31"/>
      <c r="AC218" s="31"/>
      <c r="AD218" s="31"/>
      <c r="AE218" s="31"/>
      <c r="AT218" s="19" t="s">
        <v>158</v>
      </c>
      <c r="AU218" s="19" t="s">
        <v>85</v>
      </c>
    </row>
    <row r="219" spans="1:65" s="2" customFormat="1" ht="49.15" customHeight="1">
      <c r="A219" s="31"/>
      <c r="B219" s="136"/>
      <c r="C219" s="137" t="s">
        <v>276</v>
      </c>
      <c r="D219" s="137" t="s">
        <v>147</v>
      </c>
      <c r="E219" s="138" t="s">
        <v>999</v>
      </c>
      <c r="F219" s="139" t="s">
        <v>1000</v>
      </c>
      <c r="G219" s="140" t="s">
        <v>387</v>
      </c>
      <c r="H219" s="141">
        <f>H217</f>
        <v>0</v>
      </c>
      <c r="I219" s="142"/>
      <c r="J219" s="142">
        <f>ROUND(I219*H219,2)</f>
        <v>0</v>
      </c>
      <c r="K219" s="139" t="s">
        <v>157</v>
      </c>
      <c r="L219" s="32"/>
      <c r="M219" s="143" t="s">
        <v>3</v>
      </c>
      <c r="N219" s="144" t="s">
        <v>46</v>
      </c>
      <c r="O219" s="145">
        <v>0</v>
      </c>
      <c r="P219" s="145">
        <f>O219*H219</f>
        <v>0</v>
      </c>
      <c r="Q219" s="145">
        <v>0</v>
      </c>
      <c r="R219" s="145">
        <f>Q219*H219</f>
        <v>0</v>
      </c>
      <c r="S219" s="145">
        <v>0</v>
      </c>
      <c r="T219" s="146">
        <f>S219*H219</f>
        <v>0</v>
      </c>
      <c r="U219" s="31"/>
      <c r="V219" s="31"/>
      <c r="W219" s="31"/>
      <c r="X219" s="31"/>
      <c r="Y219" s="31"/>
      <c r="Z219" s="31"/>
      <c r="AA219" s="31"/>
      <c r="AB219" s="31"/>
      <c r="AC219" s="31"/>
      <c r="AD219" s="31"/>
      <c r="AE219" s="31"/>
      <c r="AR219" s="147" t="s">
        <v>218</v>
      </c>
      <c r="AT219" s="147" t="s">
        <v>147</v>
      </c>
      <c r="AU219" s="147" t="s">
        <v>85</v>
      </c>
      <c r="AY219" s="19" t="s">
        <v>144</v>
      </c>
      <c r="BE219" s="148">
        <f>IF(N219="základní",J219,0)</f>
        <v>0</v>
      </c>
      <c r="BF219" s="148">
        <f>IF(N219="snížená",J219,0)</f>
        <v>0</v>
      </c>
      <c r="BG219" s="148">
        <f>IF(N219="zákl. přenesená",J219,0)</f>
        <v>0</v>
      </c>
      <c r="BH219" s="148">
        <f>IF(N219="sníž. přenesená",J219,0)</f>
        <v>0</v>
      </c>
      <c r="BI219" s="148">
        <f>IF(N219="nulová",J219,0)</f>
        <v>0</v>
      </c>
      <c r="BJ219" s="19" t="s">
        <v>83</v>
      </c>
      <c r="BK219" s="148">
        <f>ROUND(I219*H219,2)</f>
        <v>0</v>
      </c>
      <c r="BL219" s="19" t="s">
        <v>218</v>
      </c>
      <c r="BM219" s="147" t="s">
        <v>1001</v>
      </c>
    </row>
    <row r="220" spans="1:47" s="2" customFormat="1" ht="126.75">
      <c r="A220" s="31"/>
      <c r="B220" s="32"/>
      <c r="C220" s="31"/>
      <c r="D220" s="150" t="s">
        <v>158</v>
      </c>
      <c r="E220" s="31"/>
      <c r="F220" s="163" t="s">
        <v>627</v>
      </c>
      <c r="G220" s="31"/>
      <c r="H220" s="31"/>
      <c r="I220" s="31"/>
      <c r="J220" s="31"/>
      <c r="K220" s="31"/>
      <c r="L220" s="32"/>
      <c r="M220" s="164"/>
      <c r="N220" s="165"/>
      <c r="O220" s="52"/>
      <c r="P220" s="52"/>
      <c r="Q220" s="52"/>
      <c r="R220" s="52"/>
      <c r="S220" s="52"/>
      <c r="T220" s="53"/>
      <c r="U220" s="31"/>
      <c r="V220" s="31"/>
      <c r="W220" s="31"/>
      <c r="X220" s="31"/>
      <c r="Y220" s="31"/>
      <c r="Z220" s="31"/>
      <c r="AA220" s="31"/>
      <c r="AB220" s="31"/>
      <c r="AC220" s="31"/>
      <c r="AD220" s="31"/>
      <c r="AE220" s="31"/>
      <c r="AT220" s="19" t="s">
        <v>158</v>
      </c>
      <c r="AU220" s="19" t="s">
        <v>85</v>
      </c>
    </row>
    <row r="221" spans="2:63" s="12" customFormat="1" ht="22.9" customHeight="1">
      <c r="B221" s="124"/>
      <c r="D221" s="125" t="s">
        <v>74</v>
      </c>
      <c r="E221" s="134" t="s">
        <v>1002</v>
      </c>
      <c r="F221" s="134" t="s">
        <v>1003</v>
      </c>
      <c r="J221" s="135">
        <f>BK221</f>
        <v>0</v>
      </c>
      <c r="L221" s="124"/>
      <c r="M221" s="128"/>
      <c r="N221" s="129"/>
      <c r="O221" s="129"/>
      <c r="P221" s="130">
        <f>SUM(P222:P253)</f>
        <v>56.624919999999996</v>
      </c>
      <c r="Q221" s="129"/>
      <c r="R221" s="130">
        <f>SUM(R222:R253)</f>
        <v>0.0828044</v>
      </c>
      <c r="S221" s="129"/>
      <c r="T221" s="131">
        <f>SUM(T222:T253)</f>
        <v>0</v>
      </c>
      <c r="AR221" s="125" t="s">
        <v>85</v>
      </c>
      <c r="AT221" s="132" t="s">
        <v>74</v>
      </c>
      <c r="AU221" s="132" t="s">
        <v>83</v>
      </c>
      <c r="AY221" s="125" t="s">
        <v>144</v>
      </c>
      <c r="BK221" s="133">
        <f>SUM(BK222:BK253)</f>
        <v>0</v>
      </c>
    </row>
    <row r="222" spans="1:65" s="2" customFormat="1" ht="24.2" customHeight="1">
      <c r="A222" s="31"/>
      <c r="B222" s="136"/>
      <c r="C222" s="137" t="s">
        <v>279</v>
      </c>
      <c r="D222" s="137" t="s">
        <v>147</v>
      </c>
      <c r="E222" s="138" t="s">
        <v>1004</v>
      </c>
      <c r="F222" s="139" t="s">
        <v>1005</v>
      </c>
      <c r="G222" s="140" t="s">
        <v>201</v>
      </c>
      <c r="H222" s="141">
        <f>H224</f>
        <v>33.239999999999995</v>
      </c>
      <c r="I222" s="142"/>
      <c r="J222" s="142">
        <f>ROUND(I222*H222,2)</f>
        <v>0</v>
      </c>
      <c r="K222" s="139" t="s">
        <v>157</v>
      </c>
      <c r="L222" s="32"/>
      <c r="M222" s="143" t="s">
        <v>3</v>
      </c>
      <c r="N222" s="144" t="s">
        <v>46</v>
      </c>
      <c r="O222" s="145">
        <v>0.556</v>
      </c>
      <c r="P222" s="145">
        <f>O222*H222</f>
        <v>18.48144</v>
      </c>
      <c r="Q222" s="145">
        <v>0.00051</v>
      </c>
      <c r="R222" s="145">
        <f>Q222*H222</f>
        <v>0.0169524</v>
      </c>
      <c r="S222" s="145">
        <v>0</v>
      </c>
      <c r="T222" s="146">
        <f>S222*H222</f>
        <v>0</v>
      </c>
      <c r="U222" s="31"/>
      <c r="V222" s="31"/>
      <c r="W222" s="31"/>
      <c r="X222" s="31"/>
      <c r="Y222" s="31"/>
      <c r="Z222" s="31"/>
      <c r="AA222" s="31"/>
      <c r="AB222" s="31"/>
      <c r="AC222" s="31"/>
      <c r="AD222" s="31"/>
      <c r="AE222" s="31"/>
      <c r="AR222" s="147" t="s">
        <v>218</v>
      </c>
      <c r="AT222" s="147" t="s">
        <v>147</v>
      </c>
      <c r="AU222" s="147" t="s">
        <v>85</v>
      </c>
      <c r="AY222" s="19" t="s">
        <v>144</v>
      </c>
      <c r="BE222" s="148">
        <f>IF(N222="základní",J222,0)</f>
        <v>0</v>
      </c>
      <c r="BF222" s="148">
        <f>IF(N222="snížená",J222,0)</f>
        <v>0</v>
      </c>
      <c r="BG222" s="148">
        <f>IF(N222="zákl. přenesená",J222,0)</f>
        <v>0</v>
      </c>
      <c r="BH222" s="148">
        <f>IF(N222="sníž. přenesená",J222,0)</f>
        <v>0</v>
      </c>
      <c r="BI222" s="148">
        <f>IF(N222="nulová",J222,0)</f>
        <v>0</v>
      </c>
      <c r="BJ222" s="19" t="s">
        <v>83</v>
      </c>
      <c r="BK222" s="148">
        <f>ROUND(I222*H222,2)</f>
        <v>0</v>
      </c>
      <c r="BL222" s="19" t="s">
        <v>218</v>
      </c>
      <c r="BM222" s="147" t="s">
        <v>1006</v>
      </c>
    </row>
    <row r="223" spans="2:51" s="13" customFormat="1" ht="12">
      <c r="B223" s="149"/>
      <c r="D223" s="150" t="s">
        <v>154</v>
      </c>
      <c r="E223" s="151" t="s">
        <v>3</v>
      </c>
      <c r="F223" s="152" t="s">
        <v>1840</v>
      </c>
      <c r="H223" s="151" t="s">
        <v>3</v>
      </c>
      <c r="L223" s="149"/>
      <c r="M223" s="153"/>
      <c r="N223" s="154"/>
      <c r="O223" s="154"/>
      <c r="P223" s="154"/>
      <c r="Q223" s="154"/>
      <c r="R223" s="154"/>
      <c r="S223" s="154"/>
      <c r="T223" s="155"/>
      <c r="AT223" s="151" t="s">
        <v>154</v>
      </c>
      <c r="AU223" s="151" t="s">
        <v>85</v>
      </c>
      <c r="AV223" s="13" t="s">
        <v>83</v>
      </c>
      <c r="AW223" s="13" t="s">
        <v>37</v>
      </c>
      <c r="AX223" s="13" t="s">
        <v>75</v>
      </c>
      <c r="AY223" s="151" t="s">
        <v>144</v>
      </c>
    </row>
    <row r="224" spans="2:51" s="14" customFormat="1" ht="22.5">
      <c r="B224" s="156"/>
      <c r="D224" s="150" t="s">
        <v>154</v>
      </c>
      <c r="E224" s="157" t="s">
        <v>3</v>
      </c>
      <c r="F224" s="158" t="s">
        <v>1851</v>
      </c>
      <c r="H224" s="159">
        <f>(0.65+1.2+0.5+2.5*2+0.5*4+0.15+0.65+0.5+1.5+0.5+0.45+0.25+0.5)*2*1.2</f>
        <v>33.239999999999995</v>
      </c>
      <c r="L224" s="156"/>
      <c r="M224" s="160"/>
      <c r="N224" s="161"/>
      <c r="O224" s="161"/>
      <c r="P224" s="161"/>
      <c r="Q224" s="161"/>
      <c r="R224" s="161"/>
      <c r="S224" s="161"/>
      <c r="T224" s="162"/>
      <c r="AT224" s="157" t="s">
        <v>154</v>
      </c>
      <c r="AU224" s="157" t="s">
        <v>85</v>
      </c>
      <c r="AV224" s="14" t="s">
        <v>85</v>
      </c>
      <c r="AW224" s="14" t="s">
        <v>37</v>
      </c>
      <c r="AX224" s="14" t="s">
        <v>83</v>
      </c>
      <c r="AY224" s="157" t="s">
        <v>144</v>
      </c>
    </row>
    <row r="225" spans="1:65" s="2" customFormat="1" ht="24.2" customHeight="1">
      <c r="A225" s="31"/>
      <c r="B225" s="136"/>
      <c r="C225" s="137" t="s">
        <v>286</v>
      </c>
      <c r="D225" s="137" t="s">
        <v>147</v>
      </c>
      <c r="E225" s="138" t="s">
        <v>1008</v>
      </c>
      <c r="F225" s="139" t="s">
        <v>1009</v>
      </c>
      <c r="G225" s="140" t="s">
        <v>201</v>
      </c>
      <c r="H225" s="141">
        <f>H227</f>
        <v>23.4</v>
      </c>
      <c r="I225" s="142"/>
      <c r="J225" s="142">
        <f>ROUND(I225*H225,2)</f>
        <v>0</v>
      </c>
      <c r="K225" s="139" t="s">
        <v>157</v>
      </c>
      <c r="L225" s="32"/>
      <c r="M225" s="143" t="s">
        <v>3</v>
      </c>
      <c r="N225" s="144" t="s">
        <v>46</v>
      </c>
      <c r="O225" s="145">
        <v>0.529</v>
      </c>
      <c r="P225" s="145">
        <f>O225*H225</f>
        <v>12.3786</v>
      </c>
      <c r="Q225" s="145">
        <v>0.00084</v>
      </c>
      <c r="R225" s="145">
        <f>Q225*H225</f>
        <v>0.019656</v>
      </c>
      <c r="S225" s="145">
        <v>0</v>
      </c>
      <c r="T225" s="146">
        <f>S225*H225</f>
        <v>0</v>
      </c>
      <c r="U225" s="31"/>
      <c r="V225" s="31"/>
      <c r="W225" s="31"/>
      <c r="X225" s="31"/>
      <c r="Y225" s="31"/>
      <c r="Z225" s="31"/>
      <c r="AA225" s="31"/>
      <c r="AB225" s="31"/>
      <c r="AC225" s="31"/>
      <c r="AD225" s="31"/>
      <c r="AE225" s="31"/>
      <c r="AR225" s="147" t="s">
        <v>218</v>
      </c>
      <c r="AT225" s="147" t="s">
        <v>147</v>
      </c>
      <c r="AU225" s="147" t="s">
        <v>85</v>
      </c>
      <c r="AY225" s="19" t="s">
        <v>144</v>
      </c>
      <c r="BE225" s="148">
        <f>IF(N225="základní",J225,0)</f>
        <v>0</v>
      </c>
      <c r="BF225" s="148">
        <f>IF(N225="snížená",J225,0)</f>
        <v>0</v>
      </c>
      <c r="BG225" s="148">
        <f>IF(N225="zákl. přenesená",J225,0)</f>
        <v>0</v>
      </c>
      <c r="BH225" s="148">
        <f>IF(N225="sníž. přenesená",J225,0)</f>
        <v>0</v>
      </c>
      <c r="BI225" s="148">
        <f>IF(N225="nulová",J225,0)</f>
        <v>0</v>
      </c>
      <c r="BJ225" s="19" t="s">
        <v>83</v>
      </c>
      <c r="BK225" s="148">
        <f>ROUND(I225*H225,2)</f>
        <v>0</v>
      </c>
      <c r="BL225" s="19" t="s">
        <v>218</v>
      </c>
      <c r="BM225" s="147" t="s">
        <v>1010</v>
      </c>
    </row>
    <row r="226" spans="2:51" s="13" customFormat="1" ht="12">
      <c r="B226" s="149"/>
      <c r="D226" s="150" t="s">
        <v>154</v>
      </c>
      <c r="E226" s="151" t="s">
        <v>3</v>
      </c>
      <c r="F226" s="152" t="s">
        <v>1840</v>
      </c>
      <c r="H226" s="151" t="s">
        <v>3</v>
      </c>
      <c r="L226" s="149"/>
      <c r="M226" s="153"/>
      <c r="N226" s="154"/>
      <c r="O226" s="154"/>
      <c r="P226" s="154"/>
      <c r="Q226" s="154"/>
      <c r="R226" s="154"/>
      <c r="S226" s="154"/>
      <c r="T226" s="155"/>
      <c r="AT226" s="151" t="s">
        <v>154</v>
      </c>
      <c r="AU226" s="151" t="s">
        <v>85</v>
      </c>
      <c r="AV226" s="13" t="s">
        <v>83</v>
      </c>
      <c r="AW226" s="13" t="s">
        <v>37</v>
      </c>
      <c r="AX226" s="13" t="s">
        <v>75</v>
      </c>
      <c r="AY226" s="151" t="s">
        <v>144</v>
      </c>
    </row>
    <row r="227" spans="2:51" s="14" customFormat="1" ht="12">
      <c r="B227" s="156"/>
      <c r="D227" s="150" t="s">
        <v>154</v>
      </c>
      <c r="E227" s="157" t="s">
        <v>3</v>
      </c>
      <c r="F227" s="158" t="s">
        <v>1852</v>
      </c>
      <c r="H227" s="159">
        <f>(4+1.5+1+0.5+0.5+1+1.25)*2*1.2</f>
        <v>23.4</v>
      </c>
      <c r="L227" s="156"/>
      <c r="M227" s="160"/>
      <c r="N227" s="161"/>
      <c r="O227" s="161"/>
      <c r="P227" s="161"/>
      <c r="Q227" s="161"/>
      <c r="R227" s="161"/>
      <c r="S227" s="161"/>
      <c r="T227" s="162"/>
      <c r="AT227" s="157" t="s">
        <v>154</v>
      </c>
      <c r="AU227" s="157" t="s">
        <v>85</v>
      </c>
      <c r="AV227" s="14" t="s">
        <v>85</v>
      </c>
      <c r="AW227" s="14" t="s">
        <v>37</v>
      </c>
      <c r="AX227" s="14" t="s">
        <v>83</v>
      </c>
      <c r="AY227" s="157" t="s">
        <v>144</v>
      </c>
    </row>
    <row r="228" spans="1:65" s="2" customFormat="1" ht="49.15" customHeight="1">
      <c r="A228" s="31"/>
      <c r="B228" s="136"/>
      <c r="C228" s="137">
        <v>41</v>
      </c>
      <c r="D228" s="137" t="s">
        <v>147</v>
      </c>
      <c r="E228" s="138" t="s">
        <v>1011</v>
      </c>
      <c r="F228" s="139" t="s">
        <v>1012</v>
      </c>
      <c r="G228" s="140" t="s">
        <v>201</v>
      </c>
      <c r="H228" s="141">
        <f>H231</f>
        <v>56.63999999999999</v>
      </c>
      <c r="I228" s="142"/>
      <c r="J228" s="142">
        <f>ROUND(I228*H228,2)</f>
        <v>0</v>
      </c>
      <c r="K228" s="139" t="s">
        <v>157</v>
      </c>
      <c r="L228" s="32"/>
      <c r="M228" s="143" t="s">
        <v>3</v>
      </c>
      <c r="N228" s="144" t="s">
        <v>46</v>
      </c>
      <c r="O228" s="145">
        <v>0.118</v>
      </c>
      <c r="P228" s="145">
        <f>O228*H228</f>
        <v>6.683519999999999</v>
      </c>
      <c r="Q228" s="145">
        <v>0.0002</v>
      </c>
      <c r="R228" s="145">
        <f>Q228*H228</f>
        <v>0.011328</v>
      </c>
      <c r="S228" s="145">
        <v>0</v>
      </c>
      <c r="T228" s="146">
        <f>S228*H228</f>
        <v>0</v>
      </c>
      <c r="U228" s="31"/>
      <c r="V228" s="31"/>
      <c r="W228" s="31"/>
      <c r="X228" s="31"/>
      <c r="Y228" s="31"/>
      <c r="Z228" s="31"/>
      <c r="AA228" s="31"/>
      <c r="AB228" s="31"/>
      <c r="AC228" s="31"/>
      <c r="AD228" s="31"/>
      <c r="AE228" s="31"/>
      <c r="AR228" s="147" t="s">
        <v>218</v>
      </c>
      <c r="AT228" s="147" t="s">
        <v>147</v>
      </c>
      <c r="AU228" s="147" t="s">
        <v>85</v>
      </c>
      <c r="AY228" s="19" t="s">
        <v>144</v>
      </c>
      <c r="BE228" s="148">
        <f>IF(N228="základní",J228,0)</f>
        <v>0</v>
      </c>
      <c r="BF228" s="148">
        <f>IF(N228="snížená",J228,0)</f>
        <v>0</v>
      </c>
      <c r="BG228" s="148">
        <f>IF(N228="zákl. přenesená",J228,0)</f>
        <v>0</v>
      </c>
      <c r="BH228" s="148">
        <f>IF(N228="sníž. přenesená",J228,0)</f>
        <v>0</v>
      </c>
      <c r="BI228" s="148">
        <f>IF(N228="nulová",J228,0)</f>
        <v>0</v>
      </c>
      <c r="BJ228" s="19" t="s">
        <v>83</v>
      </c>
      <c r="BK228" s="148">
        <f>ROUND(I228*H228,2)</f>
        <v>0</v>
      </c>
      <c r="BL228" s="19" t="s">
        <v>218</v>
      </c>
      <c r="BM228" s="147" t="s">
        <v>1013</v>
      </c>
    </row>
    <row r="229" spans="1:47" s="2" customFormat="1" ht="39">
      <c r="A229" s="31"/>
      <c r="B229" s="32"/>
      <c r="C229" s="31"/>
      <c r="D229" s="150" t="s">
        <v>158</v>
      </c>
      <c r="E229" s="31"/>
      <c r="F229" s="163" t="s">
        <v>1014</v>
      </c>
      <c r="G229" s="31"/>
      <c r="H229" s="31"/>
      <c r="I229" s="31"/>
      <c r="J229" s="31"/>
      <c r="K229" s="31"/>
      <c r="L229" s="32"/>
      <c r="M229" s="164"/>
      <c r="N229" s="165"/>
      <c r="O229" s="52"/>
      <c r="P229" s="52"/>
      <c r="Q229" s="52"/>
      <c r="R229" s="52"/>
      <c r="S229" s="52"/>
      <c r="T229" s="53"/>
      <c r="U229" s="31"/>
      <c r="V229" s="31"/>
      <c r="W229" s="31"/>
      <c r="X229" s="31"/>
      <c r="Y229" s="31"/>
      <c r="Z229" s="31"/>
      <c r="AA229" s="31"/>
      <c r="AB229" s="31"/>
      <c r="AC229" s="31"/>
      <c r="AD229" s="31"/>
      <c r="AE229" s="31"/>
      <c r="AT229" s="19" t="s">
        <v>158</v>
      </c>
      <c r="AU229" s="19" t="s">
        <v>85</v>
      </c>
    </row>
    <row r="230" spans="2:51" s="13" customFormat="1" ht="12">
      <c r="B230" s="149"/>
      <c r="D230" s="150" t="s">
        <v>154</v>
      </c>
      <c r="E230" s="151" t="s">
        <v>3</v>
      </c>
      <c r="F230" s="152" t="s">
        <v>216</v>
      </c>
      <c r="H230" s="151" t="s">
        <v>3</v>
      </c>
      <c r="L230" s="149"/>
      <c r="M230" s="153"/>
      <c r="N230" s="154"/>
      <c r="O230" s="154"/>
      <c r="P230" s="154"/>
      <c r="Q230" s="154"/>
      <c r="R230" s="154"/>
      <c r="S230" s="154"/>
      <c r="T230" s="155"/>
      <c r="AT230" s="151" t="s">
        <v>154</v>
      </c>
      <c r="AU230" s="151" t="s">
        <v>85</v>
      </c>
      <c r="AV230" s="13" t="s">
        <v>83</v>
      </c>
      <c r="AW230" s="13" t="s">
        <v>37</v>
      </c>
      <c r="AX230" s="13" t="s">
        <v>75</v>
      </c>
      <c r="AY230" s="151" t="s">
        <v>144</v>
      </c>
    </row>
    <row r="231" spans="2:51" s="14" customFormat="1" ht="12">
      <c r="B231" s="156"/>
      <c r="D231" s="150" t="s">
        <v>154</v>
      </c>
      <c r="E231" s="157" t="s">
        <v>3</v>
      </c>
      <c r="F231" s="158" t="s">
        <v>1853</v>
      </c>
      <c r="H231" s="159">
        <f>H222+H225</f>
        <v>56.63999999999999</v>
      </c>
      <c r="L231" s="156"/>
      <c r="M231" s="160"/>
      <c r="N231" s="161"/>
      <c r="O231" s="161"/>
      <c r="P231" s="161"/>
      <c r="Q231" s="161"/>
      <c r="R231" s="161"/>
      <c r="S231" s="161"/>
      <c r="T231" s="162"/>
      <c r="AT231" s="157" t="s">
        <v>154</v>
      </c>
      <c r="AU231" s="157" t="s">
        <v>85</v>
      </c>
      <c r="AV231" s="14" t="s">
        <v>85</v>
      </c>
      <c r="AW231" s="14" t="s">
        <v>37</v>
      </c>
      <c r="AX231" s="14" t="s">
        <v>83</v>
      </c>
      <c r="AY231" s="157" t="s">
        <v>144</v>
      </c>
    </row>
    <row r="232" spans="1:65" s="2" customFormat="1" ht="24.2" customHeight="1">
      <c r="A232" s="31"/>
      <c r="B232" s="136"/>
      <c r="C232" s="137">
        <v>42</v>
      </c>
      <c r="D232" s="137" t="s">
        <v>147</v>
      </c>
      <c r="E232" s="138" t="s">
        <v>1015</v>
      </c>
      <c r="F232" s="139" t="s">
        <v>1016</v>
      </c>
      <c r="G232" s="140" t="s">
        <v>156</v>
      </c>
      <c r="H232" s="141">
        <f>H235</f>
        <v>26</v>
      </c>
      <c r="I232" s="142"/>
      <c r="J232" s="142">
        <f>ROUND(I232*H232,2)</f>
        <v>0</v>
      </c>
      <c r="K232" s="139" t="s">
        <v>157</v>
      </c>
      <c r="L232" s="32"/>
      <c r="M232" s="143" t="s">
        <v>3</v>
      </c>
      <c r="N232" s="144" t="s">
        <v>46</v>
      </c>
      <c r="O232" s="145">
        <v>0.17</v>
      </c>
      <c r="P232" s="145">
        <f>O232*H232</f>
        <v>4.42</v>
      </c>
      <c r="Q232" s="145">
        <v>0.00017</v>
      </c>
      <c r="R232" s="145">
        <f>Q232*H232</f>
        <v>0.00442</v>
      </c>
      <c r="S232" s="145">
        <v>0</v>
      </c>
      <c r="T232" s="146">
        <f>S232*H232</f>
        <v>0</v>
      </c>
      <c r="U232" s="31"/>
      <c r="V232" s="31"/>
      <c r="W232" s="31"/>
      <c r="X232" s="31"/>
      <c r="Y232" s="31"/>
      <c r="Z232" s="31"/>
      <c r="AA232" s="31"/>
      <c r="AB232" s="31"/>
      <c r="AC232" s="31"/>
      <c r="AD232" s="31"/>
      <c r="AE232" s="31"/>
      <c r="AR232" s="147" t="s">
        <v>218</v>
      </c>
      <c r="AT232" s="147" t="s">
        <v>147</v>
      </c>
      <c r="AU232" s="147" t="s">
        <v>85</v>
      </c>
      <c r="AY232" s="19" t="s">
        <v>144</v>
      </c>
      <c r="BE232" s="148">
        <f>IF(N232="základní",J232,0)</f>
        <v>0</v>
      </c>
      <c r="BF232" s="148">
        <f>IF(N232="snížená",J232,0)</f>
        <v>0</v>
      </c>
      <c r="BG232" s="148">
        <f>IF(N232="zákl. přenesená",J232,0)</f>
        <v>0</v>
      </c>
      <c r="BH232" s="148">
        <f>IF(N232="sníž. přenesená",J232,0)</f>
        <v>0</v>
      </c>
      <c r="BI232" s="148">
        <f>IF(N232="nulová",J232,0)</f>
        <v>0</v>
      </c>
      <c r="BJ232" s="19" t="s">
        <v>83</v>
      </c>
      <c r="BK232" s="148">
        <f>ROUND(I232*H232,2)</f>
        <v>0</v>
      </c>
      <c r="BL232" s="19" t="s">
        <v>218</v>
      </c>
      <c r="BM232" s="147" t="s">
        <v>1017</v>
      </c>
    </row>
    <row r="233" spans="1:47" s="2" customFormat="1" ht="48.75">
      <c r="A233" s="31"/>
      <c r="B233" s="32"/>
      <c r="C233" s="31"/>
      <c r="D233" s="150" t="s">
        <v>158</v>
      </c>
      <c r="E233" s="31"/>
      <c r="F233" s="163" t="s">
        <v>1018</v>
      </c>
      <c r="G233" s="31"/>
      <c r="H233" s="31"/>
      <c r="I233" s="31"/>
      <c r="J233" s="31"/>
      <c r="K233" s="31"/>
      <c r="L233" s="32"/>
      <c r="M233" s="164"/>
      <c r="N233" s="165"/>
      <c r="O233" s="52"/>
      <c r="P233" s="52"/>
      <c r="Q233" s="52"/>
      <c r="R233" s="52"/>
      <c r="S233" s="52"/>
      <c r="T233" s="53"/>
      <c r="U233" s="31"/>
      <c r="V233" s="31"/>
      <c r="W233" s="31"/>
      <c r="X233" s="31"/>
      <c r="Y233" s="31"/>
      <c r="Z233" s="31"/>
      <c r="AA233" s="31"/>
      <c r="AB233" s="31"/>
      <c r="AC233" s="31"/>
      <c r="AD233" s="31"/>
      <c r="AE233" s="31"/>
      <c r="AT233" s="19" t="s">
        <v>158</v>
      </c>
      <c r="AU233" s="19" t="s">
        <v>85</v>
      </c>
    </row>
    <row r="234" spans="2:51" s="13" customFormat="1" ht="12">
      <c r="B234" s="149"/>
      <c r="D234" s="150" t="s">
        <v>154</v>
      </c>
      <c r="E234" s="151" t="s">
        <v>3</v>
      </c>
      <c r="F234" s="152" t="s">
        <v>1007</v>
      </c>
      <c r="H234" s="151" t="s">
        <v>3</v>
      </c>
      <c r="L234" s="149"/>
      <c r="M234" s="153"/>
      <c r="N234" s="154"/>
      <c r="O234" s="154"/>
      <c r="P234" s="154"/>
      <c r="Q234" s="154"/>
      <c r="R234" s="154"/>
      <c r="S234" s="154"/>
      <c r="T234" s="155"/>
      <c r="AT234" s="151" t="s">
        <v>154</v>
      </c>
      <c r="AU234" s="151" t="s">
        <v>85</v>
      </c>
      <c r="AV234" s="13" t="s">
        <v>83</v>
      </c>
      <c r="AW234" s="13" t="s">
        <v>37</v>
      </c>
      <c r="AX234" s="13" t="s">
        <v>75</v>
      </c>
      <c r="AY234" s="151" t="s">
        <v>144</v>
      </c>
    </row>
    <row r="235" spans="2:51" s="14" customFormat="1" ht="12">
      <c r="B235" s="156"/>
      <c r="D235" s="150" t="s">
        <v>154</v>
      </c>
      <c r="E235" s="157" t="s">
        <v>3</v>
      </c>
      <c r="F235" s="158" t="s">
        <v>1854</v>
      </c>
      <c r="H235" s="159">
        <v>26</v>
      </c>
      <c r="L235" s="156"/>
      <c r="M235" s="160"/>
      <c r="N235" s="161"/>
      <c r="O235" s="161"/>
      <c r="P235" s="161"/>
      <c r="Q235" s="161"/>
      <c r="R235" s="161"/>
      <c r="S235" s="161"/>
      <c r="T235" s="162"/>
      <c r="AT235" s="157" t="s">
        <v>154</v>
      </c>
      <c r="AU235" s="157" t="s">
        <v>85</v>
      </c>
      <c r="AV235" s="14" t="s">
        <v>85</v>
      </c>
      <c r="AW235" s="14" t="s">
        <v>37</v>
      </c>
      <c r="AX235" s="14" t="s">
        <v>83</v>
      </c>
      <c r="AY235" s="157" t="s">
        <v>144</v>
      </c>
    </row>
    <row r="236" spans="1:65" s="2" customFormat="1" ht="24.2" customHeight="1">
      <c r="A236" s="31"/>
      <c r="B236" s="136"/>
      <c r="C236" s="137">
        <v>43</v>
      </c>
      <c r="D236" s="137" t="s">
        <v>147</v>
      </c>
      <c r="E236" s="138" t="s">
        <v>1019</v>
      </c>
      <c r="F236" s="139" t="s">
        <v>1020</v>
      </c>
      <c r="G236" s="140" t="s">
        <v>156</v>
      </c>
      <c r="H236" s="141">
        <f>H232</f>
        <v>26</v>
      </c>
      <c r="I236" s="142"/>
      <c r="J236" s="142">
        <f>ROUND(I236*H236,2)</f>
        <v>0</v>
      </c>
      <c r="K236" s="139" t="s">
        <v>157</v>
      </c>
      <c r="L236" s="32"/>
      <c r="M236" s="143" t="s">
        <v>3</v>
      </c>
      <c r="N236" s="144" t="s">
        <v>46</v>
      </c>
      <c r="O236" s="145">
        <v>0.16</v>
      </c>
      <c r="P236" s="145">
        <f>O236*H236</f>
        <v>4.16</v>
      </c>
      <c r="Q236" s="145">
        <v>0.00028</v>
      </c>
      <c r="R236" s="145">
        <f>Q236*H236</f>
        <v>0.007279999999999999</v>
      </c>
      <c r="S236" s="145">
        <v>0</v>
      </c>
      <c r="T236" s="146">
        <f>S236*H236</f>
        <v>0</v>
      </c>
      <c r="U236" s="31"/>
      <c r="V236" s="31"/>
      <c r="W236" s="31"/>
      <c r="X236" s="31"/>
      <c r="Y236" s="31"/>
      <c r="Z236" s="31"/>
      <c r="AA236" s="31"/>
      <c r="AB236" s="31"/>
      <c r="AC236" s="31"/>
      <c r="AD236" s="31"/>
      <c r="AE236" s="31"/>
      <c r="AR236" s="147" t="s">
        <v>218</v>
      </c>
      <c r="AT236" s="147" t="s">
        <v>147</v>
      </c>
      <c r="AU236" s="147" t="s">
        <v>85</v>
      </c>
      <c r="AY236" s="19" t="s">
        <v>144</v>
      </c>
      <c r="BE236" s="148">
        <f>IF(N236="základní",J236,0)</f>
        <v>0</v>
      </c>
      <c r="BF236" s="148">
        <f>IF(N236="snížená",J236,0)</f>
        <v>0</v>
      </c>
      <c r="BG236" s="148">
        <f>IF(N236="zákl. přenesená",J236,0)</f>
        <v>0</v>
      </c>
      <c r="BH236" s="148">
        <f>IF(N236="sníž. přenesená",J236,0)</f>
        <v>0</v>
      </c>
      <c r="BI236" s="148">
        <f>IF(N236="nulová",J236,0)</f>
        <v>0</v>
      </c>
      <c r="BJ236" s="19" t="s">
        <v>83</v>
      </c>
      <c r="BK236" s="148">
        <f>ROUND(I236*H236,2)</f>
        <v>0</v>
      </c>
      <c r="BL236" s="19" t="s">
        <v>218</v>
      </c>
      <c r="BM236" s="147" t="s">
        <v>1021</v>
      </c>
    </row>
    <row r="237" spans="1:65" s="2" customFormat="1" ht="24.2" customHeight="1">
      <c r="A237" s="31"/>
      <c r="B237" s="136"/>
      <c r="C237" s="137">
        <v>44</v>
      </c>
      <c r="D237" s="137" t="s">
        <v>147</v>
      </c>
      <c r="E237" s="138" t="s">
        <v>1022</v>
      </c>
      <c r="F237" s="139" t="s">
        <v>1856</v>
      </c>
      <c r="G237" s="140" t="s">
        <v>156</v>
      </c>
      <c r="H237" s="141">
        <f>H239</f>
        <v>4</v>
      </c>
      <c r="I237" s="142"/>
      <c r="J237" s="142">
        <f>ROUND(I237*H237,2)</f>
        <v>0</v>
      </c>
      <c r="K237" s="139" t="s">
        <v>157</v>
      </c>
      <c r="L237" s="32"/>
      <c r="M237" s="143" t="s">
        <v>3</v>
      </c>
      <c r="N237" s="144" t="s">
        <v>46</v>
      </c>
      <c r="O237" s="145">
        <v>0.328</v>
      </c>
      <c r="P237" s="145">
        <f>O237*H237</f>
        <v>1.312</v>
      </c>
      <c r="Q237" s="145">
        <v>0.00238</v>
      </c>
      <c r="R237" s="145">
        <f>Q237*H237</f>
        <v>0.00952</v>
      </c>
      <c r="S237" s="145">
        <v>0</v>
      </c>
      <c r="T237" s="146">
        <f>S237*H237</f>
        <v>0</v>
      </c>
      <c r="U237" s="31"/>
      <c r="V237" s="31"/>
      <c r="W237" s="31"/>
      <c r="X237" s="31"/>
      <c r="Y237" s="31"/>
      <c r="Z237" s="31"/>
      <c r="AA237" s="31"/>
      <c r="AB237" s="31"/>
      <c r="AC237" s="31"/>
      <c r="AD237" s="31"/>
      <c r="AE237" s="31"/>
      <c r="AR237" s="147" t="s">
        <v>218</v>
      </c>
      <c r="AT237" s="147" t="s">
        <v>147</v>
      </c>
      <c r="AU237" s="147" t="s">
        <v>85</v>
      </c>
      <c r="AY237" s="19" t="s">
        <v>144</v>
      </c>
      <c r="BE237" s="148">
        <f>IF(N237="základní",J237,0)</f>
        <v>0</v>
      </c>
      <c r="BF237" s="148">
        <f>IF(N237="snížená",J237,0)</f>
        <v>0</v>
      </c>
      <c r="BG237" s="148">
        <f>IF(N237="zákl. přenesená",J237,0)</f>
        <v>0</v>
      </c>
      <c r="BH237" s="148">
        <f>IF(N237="sníž. přenesená",J237,0)</f>
        <v>0</v>
      </c>
      <c r="BI237" s="148">
        <f>IF(N237="nulová",J237,0)</f>
        <v>0</v>
      </c>
      <c r="BJ237" s="19" t="s">
        <v>83</v>
      </c>
      <c r="BK237" s="148">
        <f>ROUND(I237*H237,2)</f>
        <v>0</v>
      </c>
      <c r="BL237" s="19" t="s">
        <v>218</v>
      </c>
      <c r="BM237" s="147" t="s">
        <v>1023</v>
      </c>
    </row>
    <row r="238" spans="2:51" s="13" customFormat="1" ht="12">
      <c r="B238" s="149"/>
      <c r="D238" s="150" t="s">
        <v>154</v>
      </c>
      <c r="E238" s="151" t="s">
        <v>3</v>
      </c>
      <c r="F238" s="152" t="s">
        <v>1007</v>
      </c>
      <c r="H238" s="151" t="s">
        <v>3</v>
      </c>
      <c r="L238" s="149"/>
      <c r="M238" s="153"/>
      <c r="N238" s="154"/>
      <c r="O238" s="154"/>
      <c r="P238" s="154"/>
      <c r="Q238" s="154"/>
      <c r="R238" s="154"/>
      <c r="S238" s="154"/>
      <c r="T238" s="155"/>
      <c r="AT238" s="151" t="s">
        <v>154</v>
      </c>
      <c r="AU238" s="151" t="s">
        <v>85</v>
      </c>
      <c r="AV238" s="13" t="s">
        <v>83</v>
      </c>
      <c r="AW238" s="13" t="s">
        <v>37</v>
      </c>
      <c r="AX238" s="13" t="s">
        <v>75</v>
      </c>
      <c r="AY238" s="151" t="s">
        <v>144</v>
      </c>
    </row>
    <row r="239" spans="2:51" s="14" customFormat="1" ht="12">
      <c r="B239" s="156"/>
      <c r="D239" s="150" t="s">
        <v>154</v>
      </c>
      <c r="E239" s="157" t="s">
        <v>3</v>
      </c>
      <c r="F239" s="158" t="s">
        <v>1855</v>
      </c>
      <c r="H239" s="159">
        <v>4</v>
      </c>
      <c r="L239" s="156"/>
      <c r="M239" s="160"/>
      <c r="N239" s="161"/>
      <c r="O239" s="161"/>
      <c r="P239" s="161"/>
      <c r="Q239" s="161"/>
      <c r="R239" s="161"/>
      <c r="S239" s="161"/>
      <c r="T239" s="162"/>
      <c r="AT239" s="157" t="s">
        <v>154</v>
      </c>
      <c r="AU239" s="157" t="s">
        <v>85</v>
      </c>
      <c r="AV239" s="14" t="s">
        <v>85</v>
      </c>
      <c r="AW239" s="14" t="s">
        <v>37</v>
      </c>
      <c r="AX239" s="14" t="s">
        <v>83</v>
      </c>
      <c r="AY239" s="157" t="s">
        <v>144</v>
      </c>
    </row>
    <row r="240" spans="1:65" s="2" customFormat="1" ht="24.2" customHeight="1">
      <c r="A240" s="31"/>
      <c r="B240" s="136"/>
      <c r="C240" s="137">
        <v>45</v>
      </c>
      <c r="D240" s="137" t="s">
        <v>147</v>
      </c>
      <c r="E240" s="138" t="s">
        <v>1024</v>
      </c>
      <c r="F240" s="139" t="s">
        <v>1025</v>
      </c>
      <c r="G240" s="140" t="s">
        <v>156</v>
      </c>
      <c r="H240" s="141">
        <v>2</v>
      </c>
      <c r="I240" s="142"/>
      <c r="J240" s="142">
        <f>ROUND(I240*H240,2)</f>
        <v>0</v>
      </c>
      <c r="K240" s="139" t="s">
        <v>157</v>
      </c>
      <c r="L240" s="32"/>
      <c r="M240" s="143" t="s">
        <v>3</v>
      </c>
      <c r="N240" s="144" t="s">
        <v>46</v>
      </c>
      <c r="O240" s="145">
        <v>0.375</v>
      </c>
      <c r="P240" s="145">
        <f>O240*H240</f>
        <v>0.75</v>
      </c>
      <c r="Q240" s="145">
        <v>0.00116</v>
      </c>
      <c r="R240" s="145">
        <f>Q240*H240</f>
        <v>0.00232</v>
      </c>
      <c r="S240" s="145">
        <v>0</v>
      </c>
      <c r="T240" s="146">
        <f>S240*H240</f>
        <v>0</v>
      </c>
      <c r="U240" s="31"/>
      <c r="V240" s="31"/>
      <c r="W240" s="31"/>
      <c r="X240" s="31"/>
      <c r="Y240" s="31"/>
      <c r="Z240" s="31"/>
      <c r="AA240" s="31"/>
      <c r="AB240" s="31"/>
      <c r="AC240" s="31"/>
      <c r="AD240" s="31"/>
      <c r="AE240" s="31"/>
      <c r="AR240" s="147" t="s">
        <v>218</v>
      </c>
      <c r="AT240" s="147" t="s">
        <v>147</v>
      </c>
      <c r="AU240" s="147" t="s">
        <v>85</v>
      </c>
      <c r="AY240" s="19" t="s">
        <v>144</v>
      </c>
      <c r="BE240" s="148">
        <f>IF(N240="základní",J240,0)</f>
        <v>0</v>
      </c>
      <c r="BF240" s="148">
        <f>IF(N240="snížená",J240,0)</f>
        <v>0</v>
      </c>
      <c r="BG240" s="148">
        <f>IF(N240="zákl. přenesená",J240,0)</f>
        <v>0</v>
      </c>
      <c r="BH240" s="148">
        <f>IF(N240="sníž. přenesená",J240,0)</f>
        <v>0</v>
      </c>
      <c r="BI240" s="148">
        <f>IF(N240="nulová",J240,0)</f>
        <v>0</v>
      </c>
      <c r="BJ240" s="19" t="s">
        <v>83</v>
      </c>
      <c r="BK240" s="148">
        <f>ROUND(I240*H240,2)</f>
        <v>0</v>
      </c>
      <c r="BL240" s="19" t="s">
        <v>218</v>
      </c>
      <c r="BM240" s="147" t="s">
        <v>1026</v>
      </c>
    </row>
    <row r="241" spans="1:47" s="2" customFormat="1" ht="48.75">
      <c r="A241" s="31"/>
      <c r="B241" s="32"/>
      <c r="C241" s="31"/>
      <c r="D241" s="150" t="s">
        <v>158</v>
      </c>
      <c r="E241" s="31"/>
      <c r="F241" s="163" t="s">
        <v>1027</v>
      </c>
      <c r="G241" s="31"/>
      <c r="H241" s="31"/>
      <c r="I241" s="31"/>
      <c r="J241" s="31"/>
      <c r="K241" s="31"/>
      <c r="L241" s="32"/>
      <c r="M241" s="164"/>
      <c r="N241" s="165"/>
      <c r="O241" s="52"/>
      <c r="P241" s="52"/>
      <c r="Q241" s="52"/>
      <c r="R241" s="52"/>
      <c r="S241" s="52"/>
      <c r="T241" s="53"/>
      <c r="U241" s="31"/>
      <c r="V241" s="31"/>
      <c r="W241" s="31"/>
      <c r="X241" s="31"/>
      <c r="Y241" s="31"/>
      <c r="Z241" s="31"/>
      <c r="AA241" s="31"/>
      <c r="AB241" s="31"/>
      <c r="AC241" s="31"/>
      <c r="AD241" s="31"/>
      <c r="AE241" s="31"/>
      <c r="AT241" s="19" t="s">
        <v>158</v>
      </c>
      <c r="AU241" s="19" t="s">
        <v>85</v>
      </c>
    </row>
    <row r="242" spans="2:51" s="13" customFormat="1" ht="12">
      <c r="B242" s="149"/>
      <c r="D242" s="150" t="s">
        <v>154</v>
      </c>
      <c r="E242" s="151" t="s">
        <v>3</v>
      </c>
      <c r="F242" s="152" t="s">
        <v>1007</v>
      </c>
      <c r="H242" s="151" t="s">
        <v>3</v>
      </c>
      <c r="L242" s="149"/>
      <c r="M242" s="153"/>
      <c r="N242" s="154"/>
      <c r="O242" s="154"/>
      <c r="P242" s="154"/>
      <c r="Q242" s="154"/>
      <c r="R242" s="154"/>
      <c r="S242" s="154"/>
      <c r="T242" s="155"/>
      <c r="AT242" s="151" t="s">
        <v>154</v>
      </c>
      <c r="AU242" s="151" t="s">
        <v>85</v>
      </c>
      <c r="AV242" s="13" t="s">
        <v>83</v>
      </c>
      <c r="AW242" s="13" t="s">
        <v>37</v>
      </c>
      <c r="AX242" s="13" t="s">
        <v>75</v>
      </c>
      <c r="AY242" s="151" t="s">
        <v>144</v>
      </c>
    </row>
    <row r="243" spans="2:51" s="14" customFormat="1" ht="12">
      <c r="B243" s="156"/>
      <c r="D243" s="150" t="s">
        <v>154</v>
      </c>
      <c r="E243" s="157" t="s">
        <v>3</v>
      </c>
      <c r="F243" s="158" t="s">
        <v>85</v>
      </c>
      <c r="H243" s="159">
        <v>2</v>
      </c>
      <c r="L243" s="156"/>
      <c r="M243" s="160"/>
      <c r="N243" s="161"/>
      <c r="O243" s="161"/>
      <c r="P243" s="161"/>
      <c r="Q243" s="161"/>
      <c r="R243" s="161"/>
      <c r="S243" s="161"/>
      <c r="T243" s="162"/>
      <c r="AT243" s="157" t="s">
        <v>154</v>
      </c>
      <c r="AU243" s="157" t="s">
        <v>85</v>
      </c>
      <c r="AV243" s="14" t="s">
        <v>85</v>
      </c>
      <c r="AW243" s="14" t="s">
        <v>37</v>
      </c>
      <c r="AX243" s="14" t="s">
        <v>83</v>
      </c>
      <c r="AY243" s="157" t="s">
        <v>144</v>
      </c>
    </row>
    <row r="244" spans="1:65" s="2" customFormat="1" ht="37.9" customHeight="1">
      <c r="A244" s="31"/>
      <c r="B244" s="136"/>
      <c r="C244" s="137">
        <v>46</v>
      </c>
      <c r="D244" s="137" t="s">
        <v>147</v>
      </c>
      <c r="E244" s="138" t="s">
        <v>1028</v>
      </c>
      <c r="F244" s="139" t="s">
        <v>1029</v>
      </c>
      <c r="G244" s="140" t="s">
        <v>201</v>
      </c>
      <c r="H244" s="141">
        <f>H247</f>
        <v>56.63999999999999</v>
      </c>
      <c r="I244" s="142"/>
      <c r="J244" s="142">
        <f>ROUND(I244*H244,2)</f>
        <v>0</v>
      </c>
      <c r="K244" s="139" t="s">
        <v>157</v>
      </c>
      <c r="L244" s="32"/>
      <c r="M244" s="143" t="s">
        <v>3</v>
      </c>
      <c r="N244" s="144" t="s">
        <v>46</v>
      </c>
      <c r="O244" s="145">
        <v>0.067</v>
      </c>
      <c r="P244" s="145">
        <f>O244*H244</f>
        <v>3.7948799999999996</v>
      </c>
      <c r="Q244" s="145">
        <v>0.00019</v>
      </c>
      <c r="R244" s="145">
        <f>Q244*H244</f>
        <v>0.0107616</v>
      </c>
      <c r="S244" s="145">
        <v>0</v>
      </c>
      <c r="T244" s="146">
        <f>S244*H244</f>
        <v>0</v>
      </c>
      <c r="U244" s="31"/>
      <c r="V244" s="31"/>
      <c r="W244" s="31"/>
      <c r="X244" s="31"/>
      <c r="Y244" s="31"/>
      <c r="Z244" s="31"/>
      <c r="AA244" s="31"/>
      <c r="AB244" s="31"/>
      <c r="AC244" s="31"/>
      <c r="AD244" s="31"/>
      <c r="AE244" s="31"/>
      <c r="AR244" s="147" t="s">
        <v>218</v>
      </c>
      <c r="AT244" s="147" t="s">
        <v>147</v>
      </c>
      <c r="AU244" s="147" t="s">
        <v>85</v>
      </c>
      <c r="AY244" s="19" t="s">
        <v>144</v>
      </c>
      <c r="BE244" s="148">
        <f>IF(N244="základní",J244,0)</f>
        <v>0</v>
      </c>
      <c r="BF244" s="148">
        <f>IF(N244="snížená",J244,0)</f>
        <v>0</v>
      </c>
      <c r="BG244" s="148">
        <f>IF(N244="zákl. přenesená",J244,0)</f>
        <v>0</v>
      </c>
      <c r="BH244" s="148">
        <f>IF(N244="sníž. přenesená",J244,0)</f>
        <v>0</v>
      </c>
      <c r="BI244" s="148">
        <f>IF(N244="nulová",J244,0)</f>
        <v>0</v>
      </c>
      <c r="BJ244" s="19" t="s">
        <v>83</v>
      </c>
      <c r="BK244" s="148">
        <f>ROUND(I244*H244,2)</f>
        <v>0</v>
      </c>
      <c r="BL244" s="19" t="s">
        <v>218</v>
      </c>
      <c r="BM244" s="147" t="s">
        <v>1030</v>
      </c>
    </row>
    <row r="245" spans="1:47" s="2" customFormat="1" ht="107.25">
      <c r="A245" s="31"/>
      <c r="B245" s="32"/>
      <c r="C245" s="31"/>
      <c r="D245" s="150" t="s">
        <v>158</v>
      </c>
      <c r="E245" s="31"/>
      <c r="F245" s="163" t="s">
        <v>1031</v>
      </c>
      <c r="G245" s="31"/>
      <c r="H245" s="31"/>
      <c r="I245" s="31"/>
      <c r="J245" s="31"/>
      <c r="K245" s="31"/>
      <c r="L245" s="32"/>
      <c r="M245" s="164"/>
      <c r="N245" s="165"/>
      <c r="O245" s="52"/>
      <c r="P245" s="52"/>
      <c r="Q245" s="52"/>
      <c r="R245" s="52"/>
      <c r="S245" s="52"/>
      <c r="T245" s="53"/>
      <c r="U245" s="31"/>
      <c r="V245" s="31"/>
      <c r="W245" s="31"/>
      <c r="X245" s="31"/>
      <c r="Y245" s="31"/>
      <c r="Z245" s="31"/>
      <c r="AA245" s="31"/>
      <c r="AB245" s="31"/>
      <c r="AC245" s="31"/>
      <c r="AD245" s="31"/>
      <c r="AE245" s="31"/>
      <c r="AT245" s="19" t="s">
        <v>158</v>
      </c>
      <c r="AU245" s="19" t="s">
        <v>85</v>
      </c>
    </row>
    <row r="246" spans="2:51" s="13" customFormat="1" ht="12">
      <c r="B246" s="149"/>
      <c r="D246" s="150" t="s">
        <v>154</v>
      </c>
      <c r="E246" s="151" t="s">
        <v>3</v>
      </c>
      <c r="F246" s="152" t="s">
        <v>216</v>
      </c>
      <c r="H246" s="151" t="s">
        <v>3</v>
      </c>
      <c r="L246" s="149"/>
      <c r="M246" s="153"/>
      <c r="N246" s="154"/>
      <c r="O246" s="154"/>
      <c r="P246" s="154"/>
      <c r="Q246" s="154"/>
      <c r="R246" s="154"/>
      <c r="S246" s="154"/>
      <c r="T246" s="155"/>
      <c r="AT246" s="151" t="s">
        <v>154</v>
      </c>
      <c r="AU246" s="151" t="s">
        <v>85</v>
      </c>
      <c r="AV246" s="13" t="s">
        <v>83</v>
      </c>
      <c r="AW246" s="13" t="s">
        <v>37</v>
      </c>
      <c r="AX246" s="13" t="s">
        <v>75</v>
      </c>
      <c r="AY246" s="151" t="s">
        <v>144</v>
      </c>
    </row>
    <row r="247" spans="2:51" s="14" customFormat="1" ht="12">
      <c r="B247" s="156"/>
      <c r="D247" s="150" t="s">
        <v>154</v>
      </c>
      <c r="E247" s="157" t="s">
        <v>3</v>
      </c>
      <c r="F247" s="158" t="s">
        <v>1853</v>
      </c>
      <c r="H247" s="159">
        <f>H222+H225</f>
        <v>56.63999999999999</v>
      </c>
      <c r="L247" s="156"/>
      <c r="M247" s="160"/>
      <c r="N247" s="161"/>
      <c r="O247" s="161"/>
      <c r="P247" s="161"/>
      <c r="Q247" s="161"/>
      <c r="R247" s="161"/>
      <c r="S247" s="161"/>
      <c r="T247" s="162"/>
      <c r="AT247" s="157" t="s">
        <v>154</v>
      </c>
      <c r="AU247" s="157" t="s">
        <v>85</v>
      </c>
      <c r="AV247" s="14" t="s">
        <v>85</v>
      </c>
      <c r="AW247" s="14" t="s">
        <v>37</v>
      </c>
      <c r="AX247" s="14" t="s">
        <v>83</v>
      </c>
      <c r="AY247" s="157" t="s">
        <v>144</v>
      </c>
    </row>
    <row r="248" spans="1:65" s="2" customFormat="1" ht="24.2" customHeight="1">
      <c r="A248" s="31"/>
      <c r="B248" s="136"/>
      <c r="C248" s="137">
        <v>47</v>
      </c>
      <c r="D248" s="137" t="s">
        <v>147</v>
      </c>
      <c r="E248" s="138" t="s">
        <v>1032</v>
      </c>
      <c r="F248" s="139" t="s">
        <v>1033</v>
      </c>
      <c r="G248" s="140" t="s">
        <v>201</v>
      </c>
      <c r="H248" s="141">
        <f>H244</f>
        <v>56.63999999999999</v>
      </c>
      <c r="I248" s="142"/>
      <c r="J248" s="142">
        <f>ROUND(I248*H248,2)</f>
        <v>0</v>
      </c>
      <c r="K248" s="139" t="s">
        <v>157</v>
      </c>
      <c r="L248" s="32"/>
      <c r="M248" s="143" t="s">
        <v>3</v>
      </c>
      <c r="N248" s="144" t="s">
        <v>46</v>
      </c>
      <c r="O248" s="145">
        <v>0.082</v>
      </c>
      <c r="P248" s="145">
        <f>O248*H248</f>
        <v>4.64448</v>
      </c>
      <c r="Q248" s="145">
        <v>1E-05</v>
      </c>
      <c r="R248" s="145">
        <f>Q248*H248</f>
        <v>0.0005664</v>
      </c>
      <c r="S248" s="145">
        <v>0</v>
      </c>
      <c r="T248" s="146">
        <f>S248*H248</f>
        <v>0</v>
      </c>
      <c r="U248" s="31"/>
      <c r="V248" s="31"/>
      <c r="W248" s="31"/>
      <c r="X248" s="31"/>
      <c r="Y248" s="31"/>
      <c r="Z248" s="31"/>
      <c r="AA248" s="31"/>
      <c r="AB248" s="31"/>
      <c r="AC248" s="31"/>
      <c r="AD248" s="31"/>
      <c r="AE248" s="31"/>
      <c r="AR248" s="147" t="s">
        <v>218</v>
      </c>
      <c r="AT248" s="147" t="s">
        <v>147</v>
      </c>
      <c r="AU248" s="147" t="s">
        <v>85</v>
      </c>
      <c r="AY248" s="19" t="s">
        <v>144</v>
      </c>
      <c r="BE248" s="148">
        <f>IF(N248="základní",J248,0)</f>
        <v>0</v>
      </c>
      <c r="BF248" s="148">
        <f>IF(N248="snížená",J248,0)</f>
        <v>0</v>
      </c>
      <c r="BG248" s="148">
        <f>IF(N248="zákl. přenesená",J248,0)</f>
        <v>0</v>
      </c>
      <c r="BH248" s="148">
        <f>IF(N248="sníž. přenesená",J248,0)</f>
        <v>0</v>
      </c>
      <c r="BI248" s="148">
        <f>IF(N248="nulová",J248,0)</f>
        <v>0</v>
      </c>
      <c r="BJ248" s="19" t="s">
        <v>83</v>
      </c>
      <c r="BK248" s="148">
        <f>ROUND(I248*H248,2)</f>
        <v>0</v>
      </c>
      <c r="BL248" s="19" t="s">
        <v>218</v>
      </c>
      <c r="BM248" s="147" t="s">
        <v>1034</v>
      </c>
    </row>
    <row r="249" spans="1:47" s="2" customFormat="1" ht="107.25">
      <c r="A249" s="31"/>
      <c r="B249" s="32"/>
      <c r="C249" s="31"/>
      <c r="D249" s="150" t="s">
        <v>158</v>
      </c>
      <c r="E249" s="31"/>
      <c r="F249" s="163" t="s">
        <v>1031</v>
      </c>
      <c r="G249" s="31"/>
      <c r="H249" s="31"/>
      <c r="I249" s="31"/>
      <c r="J249" s="31"/>
      <c r="K249" s="31"/>
      <c r="L249" s="32"/>
      <c r="M249" s="164"/>
      <c r="N249" s="165"/>
      <c r="O249" s="52"/>
      <c r="P249" s="52"/>
      <c r="Q249" s="52"/>
      <c r="R249" s="52"/>
      <c r="S249" s="52"/>
      <c r="T249" s="53"/>
      <c r="U249" s="31"/>
      <c r="V249" s="31"/>
      <c r="W249" s="31"/>
      <c r="X249" s="31"/>
      <c r="Y249" s="31"/>
      <c r="Z249" s="31"/>
      <c r="AA249" s="31"/>
      <c r="AB249" s="31"/>
      <c r="AC249" s="31"/>
      <c r="AD249" s="31"/>
      <c r="AE249" s="31"/>
      <c r="AT249" s="19" t="s">
        <v>158</v>
      </c>
      <c r="AU249" s="19" t="s">
        <v>85</v>
      </c>
    </row>
    <row r="250" spans="1:65" s="2" customFormat="1" ht="37.9" customHeight="1">
      <c r="A250" s="31"/>
      <c r="B250" s="136"/>
      <c r="C250" s="137">
        <v>48</v>
      </c>
      <c r="D250" s="137" t="s">
        <v>147</v>
      </c>
      <c r="E250" s="138" t="s">
        <v>1035</v>
      </c>
      <c r="F250" s="139" t="s">
        <v>1036</v>
      </c>
      <c r="G250" s="140" t="s">
        <v>387</v>
      </c>
      <c r="H250" s="141">
        <f>SUM(J222:J249)/100</f>
        <v>0</v>
      </c>
      <c r="I250" s="142"/>
      <c r="J250" s="142">
        <f>ROUND(I250*H250,2)</f>
        <v>0</v>
      </c>
      <c r="K250" s="139" t="s">
        <v>157</v>
      </c>
      <c r="L250" s="32"/>
      <c r="M250" s="143" t="s">
        <v>3</v>
      </c>
      <c r="N250" s="144" t="s">
        <v>46</v>
      </c>
      <c r="O250" s="145">
        <v>0</v>
      </c>
      <c r="P250" s="145">
        <f>O250*H250</f>
        <v>0</v>
      </c>
      <c r="Q250" s="145">
        <v>0</v>
      </c>
      <c r="R250" s="145">
        <f>Q250*H250</f>
        <v>0</v>
      </c>
      <c r="S250" s="145">
        <v>0</v>
      </c>
      <c r="T250" s="146">
        <f>S250*H250</f>
        <v>0</v>
      </c>
      <c r="U250" s="31"/>
      <c r="V250" s="31"/>
      <c r="W250" s="31"/>
      <c r="X250" s="31"/>
      <c r="Y250" s="31"/>
      <c r="Z250" s="31"/>
      <c r="AA250" s="31"/>
      <c r="AB250" s="31"/>
      <c r="AC250" s="31"/>
      <c r="AD250" s="31"/>
      <c r="AE250" s="31"/>
      <c r="AR250" s="147" t="s">
        <v>218</v>
      </c>
      <c r="AT250" s="147" t="s">
        <v>147</v>
      </c>
      <c r="AU250" s="147" t="s">
        <v>85</v>
      </c>
      <c r="AY250" s="19" t="s">
        <v>144</v>
      </c>
      <c r="BE250" s="148">
        <f>IF(N250="základní",J250,0)</f>
        <v>0</v>
      </c>
      <c r="BF250" s="148">
        <f>IF(N250="snížená",J250,0)</f>
        <v>0</v>
      </c>
      <c r="BG250" s="148">
        <f>IF(N250="zákl. přenesená",J250,0)</f>
        <v>0</v>
      </c>
      <c r="BH250" s="148">
        <f>IF(N250="sníž. přenesená",J250,0)</f>
        <v>0</v>
      </c>
      <c r="BI250" s="148">
        <f>IF(N250="nulová",J250,0)</f>
        <v>0</v>
      </c>
      <c r="BJ250" s="19" t="s">
        <v>83</v>
      </c>
      <c r="BK250" s="148">
        <f>ROUND(I250*H250,2)</f>
        <v>0</v>
      </c>
      <c r="BL250" s="19" t="s">
        <v>218</v>
      </c>
      <c r="BM250" s="147" t="s">
        <v>1037</v>
      </c>
    </row>
    <row r="251" spans="1:47" s="2" customFormat="1" ht="126.75">
      <c r="A251" s="31"/>
      <c r="B251" s="32"/>
      <c r="C251" s="31"/>
      <c r="D251" s="150" t="s">
        <v>158</v>
      </c>
      <c r="E251" s="31"/>
      <c r="F251" s="163" t="s">
        <v>1038</v>
      </c>
      <c r="G251" s="31"/>
      <c r="H251" s="31"/>
      <c r="I251" s="31"/>
      <c r="J251" s="31"/>
      <c r="K251" s="31"/>
      <c r="L251" s="32"/>
      <c r="M251" s="164"/>
      <c r="N251" s="165"/>
      <c r="O251" s="52"/>
      <c r="P251" s="52"/>
      <c r="Q251" s="52"/>
      <c r="R251" s="52"/>
      <c r="S251" s="52"/>
      <c r="T251" s="53"/>
      <c r="U251" s="31"/>
      <c r="V251" s="31"/>
      <c r="W251" s="31"/>
      <c r="X251" s="31"/>
      <c r="Y251" s="31"/>
      <c r="Z251" s="31"/>
      <c r="AA251" s="31"/>
      <c r="AB251" s="31"/>
      <c r="AC251" s="31"/>
      <c r="AD251" s="31"/>
      <c r="AE251" s="31"/>
      <c r="AT251" s="19" t="s">
        <v>158</v>
      </c>
      <c r="AU251" s="19" t="s">
        <v>85</v>
      </c>
    </row>
    <row r="252" spans="1:65" s="2" customFormat="1" ht="49.15" customHeight="1">
      <c r="A252" s="31"/>
      <c r="B252" s="136"/>
      <c r="C252" s="137">
        <v>49</v>
      </c>
      <c r="D252" s="137" t="s">
        <v>147</v>
      </c>
      <c r="E252" s="138" t="s">
        <v>1039</v>
      </c>
      <c r="F252" s="139" t="s">
        <v>1040</v>
      </c>
      <c r="G252" s="140" t="s">
        <v>387</v>
      </c>
      <c r="H252" s="141">
        <f>H250</f>
        <v>0</v>
      </c>
      <c r="I252" s="142"/>
      <c r="J252" s="142">
        <f>ROUND(I252*H252,2)</f>
        <v>0</v>
      </c>
      <c r="K252" s="139" t="s">
        <v>157</v>
      </c>
      <c r="L252" s="32"/>
      <c r="M252" s="143" t="s">
        <v>3</v>
      </c>
      <c r="N252" s="144" t="s">
        <v>46</v>
      </c>
      <c r="O252" s="145">
        <v>0</v>
      </c>
      <c r="P252" s="145">
        <f>O252*H252</f>
        <v>0</v>
      </c>
      <c r="Q252" s="145">
        <v>0</v>
      </c>
      <c r="R252" s="145">
        <f>Q252*H252</f>
        <v>0</v>
      </c>
      <c r="S252" s="145">
        <v>0</v>
      </c>
      <c r="T252" s="146">
        <f>S252*H252</f>
        <v>0</v>
      </c>
      <c r="U252" s="31"/>
      <c r="V252" s="31"/>
      <c r="W252" s="31"/>
      <c r="X252" s="31"/>
      <c r="Y252" s="31"/>
      <c r="Z252" s="31"/>
      <c r="AA252" s="31"/>
      <c r="AB252" s="31"/>
      <c r="AC252" s="31"/>
      <c r="AD252" s="31"/>
      <c r="AE252" s="31"/>
      <c r="AR252" s="147" t="s">
        <v>218</v>
      </c>
      <c r="AT252" s="147" t="s">
        <v>147</v>
      </c>
      <c r="AU252" s="147" t="s">
        <v>85</v>
      </c>
      <c r="AY252" s="19" t="s">
        <v>144</v>
      </c>
      <c r="BE252" s="148">
        <f>IF(N252="základní",J252,0)</f>
        <v>0</v>
      </c>
      <c r="BF252" s="148">
        <f>IF(N252="snížená",J252,0)</f>
        <v>0</v>
      </c>
      <c r="BG252" s="148">
        <f>IF(N252="zákl. přenesená",J252,0)</f>
        <v>0</v>
      </c>
      <c r="BH252" s="148">
        <f>IF(N252="sníž. přenesená",J252,0)</f>
        <v>0</v>
      </c>
      <c r="BI252" s="148">
        <f>IF(N252="nulová",J252,0)</f>
        <v>0</v>
      </c>
      <c r="BJ252" s="19" t="s">
        <v>83</v>
      </c>
      <c r="BK252" s="148">
        <f>ROUND(I252*H252,2)</f>
        <v>0</v>
      </c>
      <c r="BL252" s="19" t="s">
        <v>218</v>
      </c>
      <c r="BM252" s="147" t="s">
        <v>1041</v>
      </c>
    </row>
    <row r="253" spans="1:47" s="2" customFormat="1" ht="126.75">
      <c r="A253" s="31"/>
      <c r="B253" s="32"/>
      <c r="C253" s="31"/>
      <c r="D253" s="150" t="s">
        <v>158</v>
      </c>
      <c r="E253" s="31"/>
      <c r="F253" s="163" t="s">
        <v>1038</v>
      </c>
      <c r="G253" s="31"/>
      <c r="H253" s="31"/>
      <c r="I253" s="31"/>
      <c r="J253" s="31"/>
      <c r="K253" s="31"/>
      <c r="L253" s="32"/>
      <c r="M253" s="164"/>
      <c r="N253" s="165"/>
      <c r="O253" s="52"/>
      <c r="P253" s="52"/>
      <c r="Q253" s="52"/>
      <c r="R253" s="52"/>
      <c r="S253" s="52"/>
      <c r="T253" s="53"/>
      <c r="U253" s="31"/>
      <c r="V253" s="31"/>
      <c r="W253" s="31"/>
      <c r="X253" s="31"/>
      <c r="Y253" s="31"/>
      <c r="Z253" s="31"/>
      <c r="AA253" s="31"/>
      <c r="AB253" s="31"/>
      <c r="AC253" s="31"/>
      <c r="AD253" s="31"/>
      <c r="AE253" s="31"/>
      <c r="AT253" s="19" t="s">
        <v>158</v>
      </c>
      <c r="AU253" s="19" t="s">
        <v>85</v>
      </c>
    </row>
    <row r="254" spans="2:63" s="12" customFormat="1" ht="22.9" customHeight="1">
      <c r="B254" s="124"/>
      <c r="D254" s="125" t="s">
        <v>74</v>
      </c>
      <c r="E254" s="134" t="s">
        <v>1042</v>
      </c>
      <c r="F254" s="134" t="s">
        <v>1043</v>
      </c>
      <c r="J254" s="135">
        <f>BK254</f>
        <v>0</v>
      </c>
      <c r="L254" s="124"/>
      <c r="M254" s="128"/>
      <c r="N254" s="129"/>
      <c r="O254" s="129"/>
      <c r="P254" s="130">
        <f>SUM(P255:P335)</f>
        <v>34.512969</v>
      </c>
      <c r="Q254" s="129"/>
      <c r="R254" s="130">
        <f>SUM(R255:R335)</f>
        <v>0.04472999999999999</v>
      </c>
      <c r="S254" s="129"/>
      <c r="T254" s="131">
        <f>SUM(T255:T335)</f>
        <v>0.22240000000000001</v>
      </c>
      <c r="AR254" s="125" t="s">
        <v>85</v>
      </c>
      <c r="AT254" s="132" t="s">
        <v>74</v>
      </c>
      <c r="AU254" s="132" t="s">
        <v>83</v>
      </c>
      <c r="AY254" s="125" t="s">
        <v>144</v>
      </c>
      <c r="BK254" s="133">
        <f>SUM(BK255:BK335)</f>
        <v>0</v>
      </c>
    </row>
    <row r="255" spans="1:65" s="2" customFormat="1" ht="24.2" customHeight="1">
      <c r="A255" s="31"/>
      <c r="B255" s="136"/>
      <c r="C255" s="137">
        <v>50</v>
      </c>
      <c r="D255" s="137" t="s">
        <v>147</v>
      </c>
      <c r="E255" s="138" t="s">
        <v>1044</v>
      </c>
      <c r="F255" s="139" t="s">
        <v>1045</v>
      </c>
      <c r="G255" s="140" t="s">
        <v>960</v>
      </c>
      <c r="H255" s="141">
        <v>4</v>
      </c>
      <c r="I255" s="142"/>
      <c r="J255" s="142">
        <f>ROUND(I255*H255,2)</f>
        <v>0</v>
      </c>
      <c r="K255" s="139" t="s">
        <v>157</v>
      </c>
      <c r="L255" s="32"/>
      <c r="M255" s="143" t="s">
        <v>3</v>
      </c>
      <c r="N255" s="144" t="s">
        <v>46</v>
      </c>
      <c r="O255" s="145">
        <v>0.548</v>
      </c>
      <c r="P255" s="145">
        <f>O255*H255</f>
        <v>2.192</v>
      </c>
      <c r="Q255" s="145">
        <v>0</v>
      </c>
      <c r="R255" s="145">
        <f>Q255*H255</f>
        <v>0</v>
      </c>
      <c r="S255" s="145">
        <v>0.01933</v>
      </c>
      <c r="T255" s="146">
        <f>S255*H255</f>
        <v>0.07732</v>
      </c>
      <c r="U255" s="31"/>
      <c r="V255" s="31"/>
      <c r="W255" s="31"/>
      <c r="X255" s="31"/>
      <c r="Y255" s="31"/>
      <c r="Z255" s="31"/>
      <c r="AA255" s="31"/>
      <c r="AB255" s="31"/>
      <c r="AC255" s="31"/>
      <c r="AD255" s="31"/>
      <c r="AE255" s="31"/>
      <c r="AR255" s="147" t="s">
        <v>218</v>
      </c>
      <c r="AT255" s="147" t="s">
        <v>147</v>
      </c>
      <c r="AU255" s="147" t="s">
        <v>85</v>
      </c>
      <c r="AY255" s="19" t="s">
        <v>144</v>
      </c>
      <c r="BE255" s="148">
        <f>IF(N255="základní",J255,0)</f>
        <v>0</v>
      </c>
      <c r="BF255" s="148">
        <f>IF(N255="snížená",J255,0)</f>
        <v>0</v>
      </c>
      <c r="BG255" s="148">
        <f>IF(N255="zákl. přenesená",J255,0)</f>
        <v>0</v>
      </c>
      <c r="BH255" s="148">
        <f>IF(N255="sníž. přenesená",J255,0)</f>
        <v>0</v>
      </c>
      <c r="BI255" s="148">
        <f>IF(N255="nulová",J255,0)</f>
        <v>0</v>
      </c>
      <c r="BJ255" s="19" t="s">
        <v>83</v>
      </c>
      <c r="BK255" s="148">
        <f>ROUND(I255*H255,2)</f>
        <v>0</v>
      </c>
      <c r="BL255" s="19" t="s">
        <v>218</v>
      </c>
      <c r="BM255" s="147" t="s">
        <v>1046</v>
      </c>
    </row>
    <row r="256" spans="2:51" s="13" customFormat="1" ht="22.5">
      <c r="B256" s="149"/>
      <c r="D256" s="150" t="s">
        <v>154</v>
      </c>
      <c r="E256" s="151" t="s">
        <v>3</v>
      </c>
      <c r="F256" s="152" t="s">
        <v>232</v>
      </c>
      <c r="H256" s="151" t="s">
        <v>3</v>
      </c>
      <c r="L256" s="149"/>
      <c r="M256" s="153"/>
      <c r="N256" s="154"/>
      <c r="O256" s="154"/>
      <c r="P256" s="154"/>
      <c r="Q256" s="154"/>
      <c r="R256" s="154"/>
      <c r="S256" s="154"/>
      <c r="T256" s="155"/>
      <c r="AT256" s="151" t="s">
        <v>154</v>
      </c>
      <c r="AU256" s="151" t="s">
        <v>85</v>
      </c>
      <c r="AV256" s="13" t="s">
        <v>83</v>
      </c>
      <c r="AW256" s="13" t="s">
        <v>37</v>
      </c>
      <c r="AX256" s="13" t="s">
        <v>75</v>
      </c>
      <c r="AY256" s="151" t="s">
        <v>144</v>
      </c>
    </row>
    <row r="257" spans="2:51" s="14" customFormat="1" ht="12">
      <c r="B257" s="156"/>
      <c r="D257" s="150" t="s">
        <v>154</v>
      </c>
      <c r="E257" s="157" t="s">
        <v>3</v>
      </c>
      <c r="F257" s="158" t="s">
        <v>160</v>
      </c>
      <c r="H257" s="159">
        <v>4</v>
      </c>
      <c r="L257" s="156"/>
      <c r="M257" s="160"/>
      <c r="N257" s="161"/>
      <c r="O257" s="161"/>
      <c r="P257" s="161"/>
      <c r="Q257" s="161"/>
      <c r="R257" s="161"/>
      <c r="S257" s="161"/>
      <c r="T257" s="162"/>
      <c r="AT257" s="157" t="s">
        <v>154</v>
      </c>
      <c r="AU257" s="157" t="s">
        <v>85</v>
      </c>
      <c r="AV257" s="14" t="s">
        <v>85</v>
      </c>
      <c r="AW257" s="14" t="s">
        <v>37</v>
      </c>
      <c r="AX257" s="14" t="s">
        <v>83</v>
      </c>
      <c r="AY257" s="157" t="s">
        <v>144</v>
      </c>
    </row>
    <row r="258" spans="1:65" s="2" customFormat="1" ht="14.45" customHeight="1">
      <c r="A258" s="31"/>
      <c r="B258" s="136"/>
      <c r="C258" s="137">
        <v>51</v>
      </c>
      <c r="D258" s="137" t="s">
        <v>147</v>
      </c>
      <c r="E258" s="138" t="s">
        <v>1047</v>
      </c>
      <c r="F258" s="139" t="s">
        <v>1048</v>
      </c>
      <c r="G258" s="140" t="s">
        <v>960</v>
      </c>
      <c r="H258" s="141">
        <f>H260</f>
        <v>6</v>
      </c>
      <c r="I258" s="142"/>
      <c r="J258" s="142">
        <f>ROUND(I258*H258,2)</f>
        <v>0</v>
      </c>
      <c r="K258" s="139" t="s">
        <v>157</v>
      </c>
      <c r="L258" s="32"/>
      <c r="M258" s="143" t="s">
        <v>3</v>
      </c>
      <c r="N258" s="144" t="s">
        <v>46</v>
      </c>
      <c r="O258" s="145">
        <v>0.362</v>
      </c>
      <c r="P258" s="145">
        <f>O258*H258</f>
        <v>2.1719999999999997</v>
      </c>
      <c r="Q258" s="145">
        <v>0</v>
      </c>
      <c r="R258" s="145">
        <f>Q258*H258</f>
        <v>0</v>
      </c>
      <c r="S258" s="145">
        <v>0.01946</v>
      </c>
      <c r="T258" s="146">
        <f>S258*H258</f>
        <v>0.11676</v>
      </c>
      <c r="U258" s="31"/>
      <c r="V258" s="31"/>
      <c r="W258" s="31"/>
      <c r="X258" s="31"/>
      <c r="Y258" s="31"/>
      <c r="Z258" s="31"/>
      <c r="AA258" s="31"/>
      <c r="AB258" s="31"/>
      <c r="AC258" s="31"/>
      <c r="AD258" s="31"/>
      <c r="AE258" s="31"/>
      <c r="AR258" s="147" t="s">
        <v>218</v>
      </c>
      <c r="AT258" s="147" t="s">
        <v>147</v>
      </c>
      <c r="AU258" s="147" t="s">
        <v>85</v>
      </c>
      <c r="AY258" s="19" t="s">
        <v>144</v>
      </c>
      <c r="BE258" s="148">
        <f>IF(N258="základní",J258,0)</f>
        <v>0</v>
      </c>
      <c r="BF258" s="148">
        <f>IF(N258="snížená",J258,0)</f>
        <v>0</v>
      </c>
      <c r="BG258" s="148">
        <f>IF(N258="zákl. přenesená",J258,0)</f>
        <v>0</v>
      </c>
      <c r="BH258" s="148">
        <f>IF(N258="sníž. přenesená",J258,0)</f>
        <v>0</v>
      </c>
      <c r="BI258" s="148">
        <f>IF(N258="nulová",J258,0)</f>
        <v>0</v>
      </c>
      <c r="BJ258" s="19" t="s">
        <v>83</v>
      </c>
      <c r="BK258" s="148">
        <f>ROUND(I258*H258,2)</f>
        <v>0</v>
      </c>
      <c r="BL258" s="19" t="s">
        <v>218</v>
      </c>
      <c r="BM258" s="147" t="s">
        <v>1049</v>
      </c>
    </row>
    <row r="259" spans="2:51" s="13" customFormat="1" ht="22.5">
      <c r="B259" s="149"/>
      <c r="D259" s="150" t="s">
        <v>154</v>
      </c>
      <c r="E259" s="151" t="s">
        <v>3</v>
      </c>
      <c r="F259" s="152" t="s">
        <v>232</v>
      </c>
      <c r="H259" s="151" t="s">
        <v>3</v>
      </c>
      <c r="L259" s="149"/>
      <c r="M259" s="153"/>
      <c r="N259" s="154"/>
      <c r="O259" s="154"/>
      <c r="P259" s="154"/>
      <c r="Q259" s="154"/>
      <c r="R259" s="154"/>
      <c r="S259" s="154"/>
      <c r="T259" s="155"/>
      <c r="AT259" s="151" t="s">
        <v>154</v>
      </c>
      <c r="AU259" s="151" t="s">
        <v>85</v>
      </c>
      <c r="AV259" s="13" t="s">
        <v>83</v>
      </c>
      <c r="AW259" s="13" t="s">
        <v>37</v>
      </c>
      <c r="AX259" s="13" t="s">
        <v>75</v>
      </c>
      <c r="AY259" s="151" t="s">
        <v>144</v>
      </c>
    </row>
    <row r="260" spans="2:51" s="14" customFormat="1" ht="12">
      <c r="B260" s="156"/>
      <c r="D260" s="150" t="s">
        <v>154</v>
      </c>
      <c r="E260" s="157" t="s">
        <v>3</v>
      </c>
      <c r="F260" s="158" t="s">
        <v>1826</v>
      </c>
      <c r="H260" s="159">
        <v>6</v>
      </c>
      <c r="L260" s="156"/>
      <c r="M260" s="160"/>
      <c r="N260" s="161"/>
      <c r="O260" s="161"/>
      <c r="P260" s="161"/>
      <c r="Q260" s="161"/>
      <c r="R260" s="161"/>
      <c r="S260" s="161"/>
      <c r="T260" s="162"/>
      <c r="AT260" s="157" t="s">
        <v>154</v>
      </c>
      <c r="AU260" s="157" t="s">
        <v>85</v>
      </c>
      <c r="AV260" s="14" t="s">
        <v>85</v>
      </c>
      <c r="AW260" s="14" t="s">
        <v>37</v>
      </c>
      <c r="AX260" s="14" t="s">
        <v>83</v>
      </c>
      <c r="AY260" s="157" t="s">
        <v>144</v>
      </c>
    </row>
    <row r="261" spans="1:65" s="2" customFormat="1" ht="24.2" customHeight="1">
      <c r="A261" s="31"/>
      <c r="B261" s="136"/>
      <c r="C261" s="137">
        <v>52</v>
      </c>
      <c r="D261" s="137" t="s">
        <v>147</v>
      </c>
      <c r="E261" s="138" t="s">
        <v>1050</v>
      </c>
      <c r="F261" s="139" t="s">
        <v>1051</v>
      </c>
      <c r="G261" s="140" t="s">
        <v>960</v>
      </c>
      <c r="H261" s="141">
        <v>1</v>
      </c>
      <c r="I261" s="142"/>
      <c r="J261" s="142">
        <f>ROUND(I261*H261,2)</f>
        <v>0</v>
      </c>
      <c r="K261" s="139" t="s">
        <v>157</v>
      </c>
      <c r="L261" s="32"/>
      <c r="M261" s="143" t="s">
        <v>3</v>
      </c>
      <c r="N261" s="144" t="s">
        <v>46</v>
      </c>
      <c r="O261" s="145">
        <v>0.465</v>
      </c>
      <c r="P261" s="145">
        <f>O261*H261</f>
        <v>0.465</v>
      </c>
      <c r="Q261" s="145">
        <v>0</v>
      </c>
      <c r="R261" s="145">
        <f>Q261*H261</f>
        <v>0</v>
      </c>
      <c r="S261" s="145">
        <v>0.0092</v>
      </c>
      <c r="T261" s="146">
        <f>S261*H261</f>
        <v>0.0092</v>
      </c>
      <c r="U261" s="31"/>
      <c r="V261" s="31"/>
      <c r="W261" s="31"/>
      <c r="X261" s="31"/>
      <c r="Y261" s="31"/>
      <c r="Z261" s="31"/>
      <c r="AA261" s="31"/>
      <c r="AB261" s="31"/>
      <c r="AC261" s="31"/>
      <c r="AD261" s="31"/>
      <c r="AE261" s="31"/>
      <c r="AR261" s="147" t="s">
        <v>218</v>
      </c>
      <c r="AT261" s="147" t="s">
        <v>147</v>
      </c>
      <c r="AU261" s="147" t="s">
        <v>85</v>
      </c>
      <c r="AY261" s="19" t="s">
        <v>144</v>
      </c>
      <c r="BE261" s="148">
        <f>IF(N261="základní",J261,0)</f>
        <v>0</v>
      </c>
      <c r="BF261" s="148">
        <f>IF(N261="snížená",J261,0)</f>
        <v>0</v>
      </c>
      <c r="BG261" s="148">
        <f>IF(N261="zákl. přenesená",J261,0)</f>
        <v>0</v>
      </c>
      <c r="BH261" s="148">
        <f>IF(N261="sníž. přenesená",J261,0)</f>
        <v>0</v>
      </c>
      <c r="BI261" s="148">
        <f>IF(N261="nulová",J261,0)</f>
        <v>0</v>
      </c>
      <c r="BJ261" s="19" t="s">
        <v>83</v>
      </c>
      <c r="BK261" s="148">
        <f>ROUND(I261*H261,2)</f>
        <v>0</v>
      </c>
      <c r="BL261" s="19" t="s">
        <v>218</v>
      </c>
      <c r="BM261" s="147" t="s">
        <v>1052</v>
      </c>
    </row>
    <row r="262" spans="2:51" s="13" customFormat="1" ht="22.5">
      <c r="B262" s="149"/>
      <c r="D262" s="150" t="s">
        <v>154</v>
      </c>
      <c r="E262" s="151" t="s">
        <v>3</v>
      </c>
      <c r="F262" s="152" t="s">
        <v>232</v>
      </c>
      <c r="H262" s="151" t="s">
        <v>3</v>
      </c>
      <c r="L262" s="149"/>
      <c r="M262" s="153"/>
      <c r="N262" s="154"/>
      <c r="O262" s="154"/>
      <c r="P262" s="154"/>
      <c r="Q262" s="154"/>
      <c r="R262" s="154"/>
      <c r="S262" s="154"/>
      <c r="T262" s="155"/>
      <c r="AT262" s="151" t="s">
        <v>154</v>
      </c>
      <c r="AU262" s="151" t="s">
        <v>85</v>
      </c>
      <c r="AV262" s="13" t="s">
        <v>83</v>
      </c>
      <c r="AW262" s="13" t="s">
        <v>37</v>
      </c>
      <c r="AX262" s="13" t="s">
        <v>75</v>
      </c>
      <c r="AY262" s="151" t="s">
        <v>144</v>
      </c>
    </row>
    <row r="263" spans="2:51" s="14" customFormat="1" ht="12">
      <c r="B263" s="156"/>
      <c r="D263" s="150" t="s">
        <v>154</v>
      </c>
      <c r="E263" s="157" t="s">
        <v>3</v>
      </c>
      <c r="F263" s="158" t="s">
        <v>1053</v>
      </c>
      <c r="H263" s="159">
        <v>1</v>
      </c>
      <c r="L263" s="156"/>
      <c r="M263" s="160"/>
      <c r="N263" s="161"/>
      <c r="O263" s="161"/>
      <c r="P263" s="161"/>
      <c r="Q263" s="161"/>
      <c r="R263" s="161"/>
      <c r="S263" s="161"/>
      <c r="T263" s="162"/>
      <c r="AT263" s="157" t="s">
        <v>154</v>
      </c>
      <c r="AU263" s="157" t="s">
        <v>85</v>
      </c>
      <c r="AV263" s="14" t="s">
        <v>85</v>
      </c>
      <c r="AW263" s="14" t="s">
        <v>37</v>
      </c>
      <c r="AX263" s="14" t="s">
        <v>83</v>
      </c>
      <c r="AY263" s="157" t="s">
        <v>144</v>
      </c>
    </row>
    <row r="264" spans="1:65" s="2" customFormat="1" ht="14.45" customHeight="1">
      <c r="A264" s="31"/>
      <c r="B264" s="136"/>
      <c r="C264" s="137">
        <v>53</v>
      </c>
      <c r="D264" s="137" t="s">
        <v>147</v>
      </c>
      <c r="E264" s="138" t="s">
        <v>1054</v>
      </c>
      <c r="F264" s="139" t="s">
        <v>1055</v>
      </c>
      <c r="G264" s="140" t="s">
        <v>960</v>
      </c>
      <c r="H264" s="141">
        <f>H266</f>
        <v>7</v>
      </c>
      <c r="I264" s="142"/>
      <c r="J264" s="142">
        <f>ROUND(I264*H264,2)</f>
        <v>0</v>
      </c>
      <c r="K264" s="139" t="s">
        <v>157</v>
      </c>
      <c r="L264" s="32"/>
      <c r="M264" s="143" t="s">
        <v>3</v>
      </c>
      <c r="N264" s="144" t="s">
        <v>46</v>
      </c>
      <c r="O264" s="145">
        <v>0.217</v>
      </c>
      <c r="P264" s="145">
        <f>O264*H264</f>
        <v>1.519</v>
      </c>
      <c r="Q264" s="145">
        <v>0</v>
      </c>
      <c r="R264" s="145">
        <f>Q264*H264</f>
        <v>0</v>
      </c>
      <c r="S264" s="145">
        <v>0.00156</v>
      </c>
      <c r="T264" s="146">
        <f>S264*H264</f>
        <v>0.01092</v>
      </c>
      <c r="U264" s="31"/>
      <c r="V264" s="31"/>
      <c r="W264" s="31"/>
      <c r="X264" s="31"/>
      <c r="Y264" s="31"/>
      <c r="Z264" s="31"/>
      <c r="AA264" s="31"/>
      <c r="AB264" s="31"/>
      <c r="AC264" s="31"/>
      <c r="AD264" s="31"/>
      <c r="AE264" s="31"/>
      <c r="AR264" s="147" t="s">
        <v>218</v>
      </c>
      <c r="AT264" s="147" t="s">
        <v>147</v>
      </c>
      <c r="AU264" s="147" t="s">
        <v>85</v>
      </c>
      <c r="AY264" s="19" t="s">
        <v>144</v>
      </c>
      <c r="BE264" s="148">
        <f>IF(N264="základní",J264,0)</f>
        <v>0</v>
      </c>
      <c r="BF264" s="148">
        <f>IF(N264="snížená",J264,0)</f>
        <v>0</v>
      </c>
      <c r="BG264" s="148">
        <f>IF(N264="zákl. přenesená",J264,0)</f>
        <v>0</v>
      </c>
      <c r="BH264" s="148">
        <f>IF(N264="sníž. přenesená",J264,0)</f>
        <v>0</v>
      </c>
      <c r="BI264" s="148">
        <f>IF(N264="nulová",J264,0)</f>
        <v>0</v>
      </c>
      <c r="BJ264" s="19" t="s">
        <v>83</v>
      </c>
      <c r="BK264" s="148">
        <f>ROUND(I264*H264,2)</f>
        <v>0</v>
      </c>
      <c r="BL264" s="19" t="s">
        <v>218</v>
      </c>
      <c r="BM264" s="147" t="s">
        <v>1056</v>
      </c>
    </row>
    <row r="265" spans="2:51" s="13" customFormat="1" ht="12">
      <c r="B265" s="149"/>
      <c r="D265" s="150" t="s">
        <v>154</v>
      </c>
      <c r="E265" s="151" t="s">
        <v>3</v>
      </c>
      <c r="F265" s="152" t="s">
        <v>1057</v>
      </c>
      <c r="H265" s="151" t="s">
        <v>3</v>
      </c>
      <c r="L265" s="149"/>
      <c r="M265" s="153"/>
      <c r="N265" s="154"/>
      <c r="O265" s="154"/>
      <c r="P265" s="154"/>
      <c r="Q265" s="154"/>
      <c r="R265" s="154"/>
      <c r="S265" s="154"/>
      <c r="T265" s="155"/>
      <c r="AT265" s="151" t="s">
        <v>154</v>
      </c>
      <c r="AU265" s="151" t="s">
        <v>85</v>
      </c>
      <c r="AV265" s="13" t="s">
        <v>83</v>
      </c>
      <c r="AW265" s="13" t="s">
        <v>37</v>
      </c>
      <c r="AX265" s="13" t="s">
        <v>75</v>
      </c>
      <c r="AY265" s="151" t="s">
        <v>144</v>
      </c>
    </row>
    <row r="266" spans="2:51" s="14" customFormat="1" ht="12">
      <c r="B266" s="156"/>
      <c r="D266" s="150" t="s">
        <v>154</v>
      </c>
      <c r="E266" s="157" t="s">
        <v>3</v>
      </c>
      <c r="F266" s="158" t="s">
        <v>1787</v>
      </c>
      <c r="H266" s="159">
        <v>7</v>
      </c>
      <c r="L266" s="156"/>
      <c r="M266" s="160"/>
      <c r="N266" s="161"/>
      <c r="O266" s="161"/>
      <c r="P266" s="161"/>
      <c r="Q266" s="161"/>
      <c r="R266" s="161"/>
      <c r="S266" s="161"/>
      <c r="T266" s="162"/>
      <c r="AT266" s="157" t="s">
        <v>154</v>
      </c>
      <c r="AU266" s="157" t="s">
        <v>85</v>
      </c>
      <c r="AV266" s="14" t="s">
        <v>85</v>
      </c>
      <c r="AW266" s="14" t="s">
        <v>37</v>
      </c>
      <c r="AX266" s="14" t="s">
        <v>83</v>
      </c>
      <c r="AY266" s="157" t="s">
        <v>144</v>
      </c>
    </row>
    <row r="267" spans="1:65" s="2" customFormat="1" ht="24.2" customHeight="1">
      <c r="A267" s="31"/>
      <c r="B267" s="136"/>
      <c r="C267" s="137">
        <v>54</v>
      </c>
      <c r="D267" s="137" t="s">
        <v>147</v>
      </c>
      <c r="E267" s="138" t="s">
        <v>1058</v>
      </c>
      <c r="F267" s="139" t="s">
        <v>1059</v>
      </c>
      <c r="G267" s="140" t="s">
        <v>156</v>
      </c>
      <c r="H267" s="141">
        <v>1</v>
      </c>
      <c r="I267" s="142"/>
      <c r="J267" s="142">
        <f>ROUND(I267*H267,2)</f>
        <v>0</v>
      </c>
      <c r="K267" s="139" t="s">
        <v>157</v>
      </c>
      <c r="L267" s="32"/>
      <c r="M267" s="143" t="s">
        <v>3</v>
      </c>
      <c r="N267" s="144" t="s">
        <v>46</v>
      </c>
      <c r="O267" s="145">
        <v>0.407</v>
      </c>
      <c r="P267" s="145">
        <f>O267*H267</f>
        <v>0.407</v>
      </c>
      <c r="Q267" s="145">
        <v>0</v>
      </c>
      <c r="R267" s="145">
        <f>Q267*H267</f>
        <v>0</v>
      </c>
      <c r="S267" s="145">
        <v>0.00225</v>
      </c>
      <c r="T267" s="146">
        <f>S267*H267</f>
        <v>0.00225</v>
      </c>
      <c r="U267" s="31"/>
      <c r="V267" s="31"/>
      <c r="W267" s="31"/>
      <c r="X267" s="31"/>
      <c r="Y267" s="31"/>
      <c r="Z267" s="31"/>
      <c r="AA267" s="31"/>
      <c r="AB267" s="31"/>
      <c r="AC267" s="31"/>
      <c r="AD267" s="31"/>
      <c r="AE267" s="31"/>
      <c r="AR267" s="147" t="s">
        <v>218</v>
      </c>
      <c r="AT267" s="147" t="s">
        <v>147</v>
      </c>
      <c r="AU267" s="147" t="s">
        <v>85</v>
      </c>
      <c r="AY267" s="19" t="s">
        <v>144</v>
      </c>
      <c r="BE267" s="148">
        <f>IF(N267="základní",J267,0)</f>
        <v>0</v>
      </c>
      <c r="BF267" s="148">
        <f>IF(N267="snížená",J267,0)</f>
        <v>0</v>
      </c>
      <c r="BG267" s="148">
        <f>IF(N267="zákl. přenesená",J267,0)</f>
        <v>0</v>
      </c>
      <c r="BH267" s="148">
        <f>IF(N267="sníž. přenesená",J267,0)</f>
        <v>0</v>
      </c>
      <c r="BI267" s="148">
        <f>IF(N267="nulová",J267,0)</f>
        <v>0</v>
      </c>
      <c r="BJ267" s="19" t="s">
        <v>83</v>
      </c>
      <c r="BK267" s="148">
        <f>ROUND(I267*H267,2)</f>
        <v>0</v>
      </c>
      <c r="BL267" s="19" t="s">
        <v>218</v>
      </c>
      <c r="BM267" s="147" t="s">
        <v>1060</v>
      </c>
    </row>
    <row r="268" spans="2:51" s="13" customFormat="1" ht="22.5">
      <c r="B268" s="149"/>
      <c r="D268" s="150" t="s">
        <v>154</v>
      </c>
      <c r="E268" s="151" t="s">
        <v>3</v>
      </c>
      <c r="F268" s="152" t="s">
        <v>232</v>
      </c>
      <c r="H268" s="151" t="s">
        <v>3</v>
      </c>
      <c r="L268" s="149"/>
      <c r="M268" s="153"/>
      <c r="N268" s="154"/>
      <c r="O268" s="154"/>
      <c r="P268" s="154"/>
      <c r="Q268" s="154"/>
      <c r="R268" s="154"/>
      <c r="S268" s="154"/>
      <c r="T268" s="155"/>
      <c r="AT268" s="151" t="s">
        <v>154</v>
      </c>
      <c r="AU268" s="151" t="s">
        <v>85</v>
      </c>
      <c r="AV268" s="13" t="s">
        <v>83</v>
      </c>
      <c r="AW268" s="13" t="s">
        <v>37</v>
      </c>
      <c r="AX268" s="13" t="s">
        <v>75</v>
      </c>
      <c r="AY268" s="151" t="s">
        <v>144</v>
      </c>
    </row>
    <row r="269" spans="2:51" s="14" customFormat="1" ht="12">
      <c r="B269" s="156"/>
      <c r="D269" s="150" t="s">
        <v>154</v>
      </c>
      <c r="E269" s="157" t="s">
        <v>3</v>
      </c>
      <c r="F269" s="158" t="s">
        <v>1061</v>
      </c>
      <c r="H269" s="159">
        <v>1</v>
      </c>
      <c r="L269" s="156"/>
      <c r="M269" s="160"/>
      <c r="N269" s="161"/>
      <c r="O269" s="161"/>
      <c r="P269" s="161"/>
      <c r="Q269" s="161"/>
      <c r="R269" s="161"/>
      <c r="S269" s="161"/>
      <c r="T269" s="162"/>
      <c r="AT269" s="157" t="s">
        <v>154</v>
      </c>
      <c r="AU269" s="157" t="s">
        <v>85</v>
      </c>
      <c r="AV269" s="14" t="s">
        <v>85</v>
      </c>
      <c r="AW269" s="14" t="s">
        <v>37</v>
      </c>
      <c r="AX269" s="14" t="s">
        <v>83</v>
      </c>
      <c r="AY269" s="157" t="s">
        <v>144</v>
      </c>
    </row>
    <row r="270" spans="1:65" s="2" customFormat="1" ht="24.2" customHeight="1">
      <c r="A270" s="31"/>
      <c r="B270" s="136"/>
      <c r="C270" s="137">
        <v>55</v>
      </c>
      <c r="D270" s="137" t="s">
        <v>147</v>
      </c>
      <c r="E270" s="138" t="s">
        <v>1062</v>
      </c>
      <c r="F270" s="139" t="s">
        <v>1063</v>
      </c>
      <c r="G270" s="140" t="s">
        <v>156</v>
      </c>
      <c r="H270" s="141">
        <f>H264</f>
        <v>7</v>
      </c>
      <c r="I270" s="142"/>
      <c r="J270" s="142">
        <f>ROUND(I270*H270,2)</f>
        <v>0</v>
      </c>
      <c r="K270" s="139" t="s">
        <v>157</v>
      </c>
      <c r="L270" s="32"/>
      <c r="M270" s="143" t="s">
        <v>3</v>
      </c>
      <c r="N270" s="144" t="s">
        <v>46</v>
      </c>
      <c r="O270" s="145">
        <v>0.038</v>
      </c>
      <c r="P270" s="145">
        <f>O270*H270</f>
        <v>0.266</v>
      </c>
      <c r="Q270" s="145">
        <v>0</v>
      </c>
      <c r="R270" s="145">
        <f>Q270*H270</f>
        <v>0</v>
      </c>
      <c r="S270" s="145">
        <v>0.00085</v>
      </c>
      <c r="T270" s="146">
        <f>S270*H270</f>
        <v>0.0059499999999999996</v>
      </c>
      <c r="U270" s="31"/>
      <c r="V270" s="31"/>
      <c r="W270" s="31"/>
      <c r="X270" s="31"/>
      <c r="Y270" s="31"/>
      <c r="Z270" s="31"/>
      <c r="AA270" s="31"/>
      <c r="AB270" s="31"/>
      <c r="AC270" s="31"/>
      <c r="AD270" s="31"/>
      <c r="AE270" s="31"/>
      <c r="AR270" s="147" t="s">
        <v>218</v>
      </c>
      <c r="AT270" s="147" t="s">
        <v>147</v>
      </c>
      <c r="AU270" s="147" t="s">
        <v>85</v>
      </c>
      <c r="AY270" s="19" t="s">
        <v>144</v>
      </c>
      <c r="BE270" s="148">
        <f>IF(N270="základní",J270,0)</f>
        <v>0</v>
      </c>
      <c r="BF270" s="148">
        <f>IF(N270="snížená",J270,0)</f>
        <v>0</v>
      </c>
      <c r="BG270" s="148">
        <f>IF(N270="zákl. přenesená",J270,0)</f>
        <v>0</v>
      </c>
      <c r="BH270" s="148">
        <f>IF(N270="sníž. přenesená",J270,0)</f>
        <v>0</v>
      </c>
      <c r="BI270" s="148">
        <f>IF(N270="nulová",J270,0)</f>
        <v>0</v>
      </c>
      <c r="BJ270" s="19" t="s">
        <v>83</v>
      </c>
      <c r="BK270" s="148">
        <f>ROUND(I270*H270,2)</f>
        <v>0</v>
      </c>
      <c r="BL270" s="19" t="s">
        <v>218</v>
      </c>
      <c r="BM270" s="147" t="s">
        <v>1064</v>
      </c>
    </row>
    <row r="271" spans="2:51" s="13" customFormat="1" ht="12">
      <c r="B271" s="149"/>
      <c r="D271" s="150" t="s">
        <v>154</v>
      </c>
      <c r="E271" s="151" t="s">
        <v>3</v>
      </c>
      <c r="F271" s="152" t="s">
        <v>1057</v>
      </c>
      <c r="H271" s="151" t="s">
        <v>3</v>
      </c>
      <c r="L271" s="149"/>
      <c r="M271" s="153"/>
      <c r="N271" s="154"/>
      <c r="O271" s="154"/>
      <c r="P271" s="154"/>
      <c r="Q271" s="154"/>
      <c r="R271" s="154"/>
      <c r="S271" s="154"/>
      <c r="T271" s="155"/>
      <c r="AT271" s="151" t="s">
        <v>154</v>
      </c>
      <c r="AU271" s="151" t="s">
        <v>85</v>
      </c>
      <c r="AV271" s="13" t="s">
        <v>83</v>
      </c>
      <c r="AW271" s="13" t="s">
        <v>37</v>
      </c>
      <c r="AX271" s="13" t="s">
        <v>75</v>
      </c>
      <c r="AY271" s="151" t="s">
        <v>144</v>
      </c>
    </row>
    <row r="272" spans="2:51" s="14" customFormat="1" ht="12">
      <c r="B272" s="156"/>
      <c r="D272" s="150" t="s">
        <v>154</v>
      </c>
      <c r="E272" s="157" t="s">
        <v>3</v>
      </c>
      <c r="F272" s="158" t="s">
        <v>1787</v>
      </c>
      <c r="H272" s="159">
        <f>H264</f>
        <v>7</v>
      </c>
      <c r="L272" s="156"/>
      <c r="M272" s="160"/>
      <c r="N272" s="161"/>
      <c r="O272" s="161"/>
      <c r="P272" s="161"/>
      <c r="Q272" s="161"/>
      <c r="R272" s="161"/>
      <c r="S272" s="161"/>
      <c r="T272" s="162"/>
      <c r="AT272" s="157" t="s">
        <v>154</v>
      </c>
      <c r="AU272" s="157" t="s">
        <v>85</v>
      </c>
      <c r="AV272" s="14" t="s">
        <v>85</v>
      </c>
      <c r="AW272" s="14" t="s">
        <v>37</v>
      </c>
      <c r="AX272" s="14" t="s">
        <v>83</v>
      </c>
      <c r="AY272" s="157" t="s">
        <v>144</v>
      </c>
    </row>
    <row r="273" spans="1:65" s="2" customFormat="1" ht="37.9" customHeight="1">
      <c r="A273" s="31"/>
      <c r="B273" s="136"/>
      <c r="C273" s="137">
        <v>56</v>
      </c>
      <c r="D273" s="137" t="s">
        <v>147</v>
      </c>
      <c r="E273" s="138" t="s">
        <v>1065</v>
      </c>
      <c r="F273" s="139" t="s">
        <v>1066</v>
      </c>
      <c r="G273" s="140" t="s">
        <v>170</v>
      </c>
      <c r="H273" s="141">
        <v>0.201</v>
      </c>
      <c r="I273" s="142"/>
      <c r="J273" s="142">
        <f>ROUND(I273*H273,2)</f>
        <v>0</v>
      </c>
      <c r="K273" s="139" t="s">
        <v>157</v>
      </c>
      <c r="L273" s="32"/>
      <c r="M273" s="143" t="s">
        <v>3</v>
      </c>
      <c r="N273" s="144" t="s">
        <v>46</v>
      </c>
      <c r="O273" s="145">
        <v>3.169</v>
      </c>
      <c r="P273" s="145">
        <f>O273*H273</f>
        <v>0.636969</v>
      </c>
      <c r="Q273" s="145">
        <v>0</v>
      </c>
      <c r="R273" s="145">
        <f>Q273*H273</f>
        <v>0</v>
      </c>
      <c r="S273" s="145">
        <v>0</v>
      </c>
      <c r="T273" s="146">
        <f>S273*H273</f>
        <v>0</v>
      </c>
      <c r="U273" s="31"/>
      <c r="V273" s="31"/>
      <c r="W273" s="31"/>
      <c r="X273" s="31"/>
      <c r="Y273" s="31"/>
      <c r="Z273" s="31"/>
      <c r="AA273" s="31"/>
      <c r="AB273" s="31"/>
      <c r="AC273" s="31"/>
      <c r="AD273" s="31"/>
      <c r="AE273" s="31"/>
      <c r="AR273" s="147" t="s">
        <v>218</v>
      </c>
      <c r="AT273" s="147" t="s">
        <v>147</v>
      </c>
      <c r="AU273" s="147" t="s">
        <v>85</v>
      </c>
      <c r="AY273" s="19" t="s">
        <v>144</v>
      </c>
      <c r="BE273" s="148">
        <f>IF(N273="základní",J273,0)</f>
        <v>0</v>
      </c>
      <c r="BF273" s="148">
        <f>IF(N273="snížená",J273,0)</f>
        <v>0</v>
      </c>
      <c r="BG273" s="148">
        <f>IF(N273="zákl. přenesená",J273,0)</f>
        <v>0</v>
      </c>
      <c r="BH273" s="148">
        <f>IF(N273="sníž. přenesená",J273,0)</f>
        <v>0</v>
      </c>
      <c r="BI273" s="148">
        <f>IF(N273="nulová",J273,0)</f>
        <v>0</v>
      </c>
      <c r="BJ273" s="19" t="s">
        <v>83</v>
      </c>
      <c r="BK273" s="148">
        <f>ROUND(I273*H273,2)</f>
        <v>0</v>
      </c>
      <c r="BL273" s="19" t="s">
        <v>218</v>
      </c>
      <c r="BM273" s="147" t="s">
        <v>1067</v>
      </c>
    </row>
    <row r="274" spans="1:65" s="2" customFormat="1" ht="24.2" customHeight="1">
      <c r="A274" s="31"/>
      <c r="B274" s="136"/>
      <c r="C274" s="137">
        <v>57</v>
      </c>
      <c r="D274" s="137" t="s">
        <v>147</v>
      </c>
      <c r="E274" s="138" t="s">
        <v>1068</v>
      </c>
      <c r="F274" s="139" t="s">
        <v>1069</v>
      </c>
      <c r="G274" s="140" t="s">
        <v>156</v>
      </c>
      <c r="H274" s="141">
        <v>6</v>
      </c>
      <c r="I274" s="142"/>
      <c r="J274" s="142">
        <f>ROUND(I274*H274,2)</f>
        <v>0</v>
      </c>
      <c r="K274" s="139" t="s">
        <v>157</v>
      </c>
      <c r="L274" s="32"/>
      <c r="M274" s="143" t="s">
        <v>3</v>
      </c>
      <c r="N274" s="144" t="s">
        <v>46</v>
      </c>
      <c r="O274" s="145">
        <v>1.1</v>
      </c>
      <c r="P274" s="145">
        <f>O274*H274</f>
        <v>6.6000000000000005</v>
      </c>
      <c r="Q274" s="145">
        <v>0.00247</v>
      </c>
      <c r="R274" s="145">
        <f>Q274*H274</f>
        <v>0.01482</v>
      </c>
      <c r="S274" s="145">
        <v>0</v>
      </c>
      <c r="T274" s="146">
        <f>S274*H274</f>
        <v>0</v>
      </c>
      <c r="U274" s="31"/>
      <c r="V274" s="31"/>
      <c r="W274" s="31"/>
      <c r="X274" s="31"/>
      <c r="Y274" s="31"/>
      <c r="Z274" s="31"/>
      <c r="AA274" s="31"/>
      <c r="AB274" s="31"/>
      <c r="AC274" s="31"/>
      <c r="AD274" s="31"/>
      <c r="AE274" s="31"/>
      <c r="AR274" s="147" t="s">
        <v>218</v>
      </c>
      <c r="AT274" s="147" t="s">
        <v>147</v>
      </c>
      <c r="AU274" s="147" t="s">
        <v>85</v>
      </c>
      <c r="AY274" s="19" t="s">
        <v>144</v>
      </c>
      <c r="BE274" s="148">
        <f>IF(N274="základní",J274,0)</f>
        <v>0</v>
      </c>
      <c r="BF274" s="148">
        <f>IF(N274="snížená",J274,0)</f>
        <v>0</v>
      </c>
      <c r="BG274" s="148">
        <f>IF(N274="zákl. přenesená",J274,0)</f>
        <v>0</v>
      </c>
      <c r="BH274" s="148">
        <f>IF(N274="sníž. přenesená",J274,0)</f>
        <v>0</v>
      </c>
      <c r="BI274" s="148">
        <f>IF(N274="nulová",J274,0)</f>
        <v>0</v>
      </c>
      <c r="BJ274" s="19" t="s">
        <v>83</v>
      </c>
      <c r="BK274" s="148">
        <f>ROUND(I274*H274,2)</f>
        <v>0</v>
      </c>
      <c r="BL274" s="19" t="s">
        <v>218</v>
      </c>
      <c r="BM274" s="147" t="s">
        <v>1070</v>
      </c>
    </row>
    <row r="275" spans="1:47" s="2" customFormat="1" ht="39">
      <c r="A275" s="31"/>
      <c r="B275" s="32"/>
      <c r="C275" s="31"/>
      <c r="D275" s="150" t="s">
        <v>158</v>
      </c>
      <c r="E275" s="31"/>
      <c r="F275" s="163" t="s">
        <v>1071</v>
      </c>
      <c r="G275" s="31"/>
      <c r="H275" s="31"/>
      <c r="I275" s="31"/>
      <c r="J275" s="31"/>
      <c r="K275" s="31"/>
      <c r="L275" s="32"/>
      <c r="M275" s="164"/>
      <c r="N275" s="165"/>
      <c r="O275" s="52"/>
      <c r="P275" s="52"/>
      <c r="Q275" s="52"/>
      <c r="R275" s="52"/>
      <c r="S275" s="52"/>
      <c r="T275" s="53"/>
      <c r="U275" s="31"/>
      <c r="V275" s="31"/>
      <c r="W275" s="31"/>
      <c r="X275" s="31"/>
      <c r="Y275" s="31"/>
      <c r="Z275" s="31"/>
      <c r="AA275" s="31"/>
      <c r="AB275" s="31"/>
      <c r="AC275" s="31"/>
      <c r="AD275" s="31"/>
      <c r="AE275" s="31"/>
      <c r="AT275" s="19" t="s">
        <v>158</v>
      </c>
      <c r="AU275" s="19" t="s">
        <v>85</v>
      </c>
    </row>
    <row r="276" spans="1:47" s="2" customFormat="1" ht="29.25">
      <c r="A276" s="31"/>
      <c r="B276" s="32"/>
      <c r="C276" s="31"/>
      <c r="D276" s="150" t="s">
        <v>270</v>
      </c>
      <c r="E276" s="31"/>
      <c r="F276" s="163" t="s">
        <v>1072</v>
      </c>
      <c r="G276" s="31"/>
      <c r="H276" s="31"/>
      <c r="I276" s="31"/>
      <c r="J276" s="31"/>
      <c r="K276" s="31"/>
      <c r="L276" s="32"/>
      <c r="M276" s="164"/>
      <c r="N276" s="165"/>
      <c r="O276" s="52"/>
      <c r="P276" s="52"/>
      <c r="Q276" s="52"/>
      <c r="R276" s="52"/>
      <c r="S276" s="52"/>
      <c r="T276" s="53"/>
      <c r="U276" s="31"/>
      <c r="V276" s="31"/>
      <c r="W276" s="31"/>
      <c r="X276" s="31"/>
      <c r="Y276" s="31"/>
      <c r="Z276" s="31"/>
      <c r="AA276" s="31"/>
      <c r="AB276" s="31"/>
      <c r="AC276" s="31"/>
      <c r="AD276" s="31"/>
      <c r="AE276" s="31"/>
      <c r="AT276" s="19" t="s">
        <v>270</v>
      </c>
      <c r="AU276" s="19" t="s">
        <v>85</v>
      </c>
    </row>
    <row r="277" spans="2:51" s="13" customFormat="1" ht="12">
      <c r="B277" s="149"/>
      <c r="D277" s="150" t="s">
        <v>154</v>
      </c>
      <c r="E277" s="151" t="s">
        <v>3</v>
      </c>
      <c r="F277" s="152" t="s">
        <v>893</v>
      </c>
      <c r="H277" s="151" t="s">
        <v>3</v>
      </c>
      <c r="L277" s="149"/>
      <c r="M277" s="153"/>
      <c r="N277" s="154"/>
      <c r="O277" s="154"/>
      <c r="P277" s="154"/>
      <c r="Q277" s="154"/>
      <c r="R277" s="154"/>
      <c r="S277" s="154"/>
      <c r="T277" s="155"/>
      <c r="AT277" s="151" t="s">
        <v>154</v>
      </c>
      <c r="AU277" s="151" t="s">
        <v>85</v>
      </c>
      <c r="AV277" s="13" t="s">
        <v>83</v>
      </c>
      <c r="AW277" s="13" t="s">
        <v>37</v>
      </c>
      <c r="AX277" s="13" t="s">
        <v>75</v>
      </c>
      <c r="AY277" s="151" t="s">
        <v>144</v>
      </c>
    </row>
    <row r="278" spans="2:51" s="13" customFormat="1" ht="12">
      <c r="B278" s="149"/>
      <c r="D278" s="150" t="s">
        <v>154</v>
      </c>
      <c r="E278" s="151" t="s">
        <v>3</v>
      </c>
      <c r="F278" s="152" t="s">
        <v>166</v>
      </c>
      <c r="H278" s="151" t="s">
        <v>3</v>
      </c>
      <c r="L278" s="149"/>
      <c r="M278" s="153"/>
      <c r="N278" s="154"/>
      <c r="O278" s="154"/>
      <c r="P278" s="154"/>
      <c r="Q278" s="154"/>
      <c r="R278" s="154"/>
      <c r="S278" s="154"/>
      <c r="T278" s="155"/>
      <c r="AT278" s="151" t="s">
        <v>154</v>
      </c>
      <c r="AU278" s="151" t="s">
        <v>85</v>
      </c>
      <c r="AV278" s="13" t="s">
        <v>83</v>
      </c>
      <c r="AW278" s="13" t="s">
        <v>37</v>
      </c>
      <c r="AX278" s="13" t="s">
        <v>75</v>
      </c>
      <c r="AY278" s="151" t="s">
        <v>144</v>
      </c>
    </row>
    <row r="279" spans="2:51" s="14" customFormat="1" ht="12">
      <c r="B279" s="156"/>
      <c r="D279" s="150" t="s">
        <v>154</v>
      </c>
      <c r="E279" s="157" t="s">
        <v>3</v>
      </c>
      <c r="F279" s="158">
        <v>4</v>
      </c>
      <c r="H279" s="159">
        <v>4</v>
      </c>
      <c r="L279" s="156"/>
      <c r="M279" s="160"/>
      <c r="N279" s="161"/>
      <c r="O279" s="161"/>
      <c r="P279" s="161"/>
      <c r="Q279" s="161"/>
      <c r="R279" s="161"/>
      <c r="S279" s="161"/>
      <c r="T279" s="162"/>
      <c r="AT279" s="157" t="s">
        <v>154</v>
      </c>
      <c r="AU279" s="157" t="s">
        <v>85</v>
      </c>
      <c r="AV279" s="14" t="s">
        <v>85</v>
      </c>
      <c r="AW279" s="14" t="s">
        <v>37</v>
      </c>
      <c r="AX279" s="14" t="s">
        <v>75</v>
      </c>
      <c r="AY279" s="157" t="s">
        <v>144</v>
      </c>
    </row>
    <row r="280" spans="2:51" s="13" customFormat="1" ht="12">
      <c r="B280" s="149"/>
      <c r="D280" s="150" t="s">
        <v>154</v>
      </c>
      <c r="E280" s="151" t="s">
        <v>3</v>
      </c>
      <c r="F280" s="152" t="s">
        <v>167</v>
      </c>
      <c r="H280" s="151" t="s">
        <v>3</v>
      </c>
      <c r="L280" s="149"/>
      <c r="M280" s="153"/>
      <c r="N280" s="154"/>
      <c r="O280" s="154"/>
      <c r="P280" s="154"/>
      <c r="Q280" s="154"/>
      <c r="R280" s="154"/>
      <c r="S280" s="154"/>
      <c r="T280" s="155"/>
      <c r="AT280" s="151" t="s">
        <v>154</v>
      </c>
      <c r="AU280" s="151" t="s">
        <v>85</v>
      </c>
      <c r="AV280" s="13" t="s">
        <v>83</v>
      </c>
      <c r="AW280" s="13" t="s">
        <v>37</v>
      </c>
      <c r="AX280" s="13" t="s">
        <v>75</v>
      </c>
      <c r="AY280" s="151" t="s">
        <v>144</v>
      </c>
    </row>
    <row r="281" spans="2:51" s="14" customFormat="1" ht="12">
      <c r="B281" s="156"/>
      <c r="D281" s="150" t="s">
        <v>154</v>
      </c>
      <c r="E281" s="157" t="s">
        <v>3</v>
      </c>
      <c r="F281" s="158">
        <v>2</v>
      </c>
      <c r="H281" s="159">
        <v>2</v>
      </c>
      <c r="L281" s="156"/>
      <c r="M281" s="160"/>
      <c r="N281" s="161"/>
      <c r="O281" s="161"/>
      <c r="P281" s="161"/>
      <c r="Q281" s="161"/>
      <c r="R281" s="161"/>
      <c r="S281" s="161"/>
      <c r="T281" s="162"/>
      <c r="AT281" s="157" t="s">
        <v>154</v>
      </c>
      <c r="AU281" s="157" t="s">
        <v>85</v>
      </c>
      <c r="AV281" s="14" t="s">
        <v>85</v>
      </c>
      <c r="AW281" s="14" t="s">
        <v>37</v>
      </c>
      <c r="AX281" s="14" t="s">
        <v>75</v>
      </c>
      <c r="AY281" s="157" t="s">
        <v>144</v>
      </c>
    </row>
    <row r="282" spans="1:65" s="2" customFormat="1" ht="37.9" customHeight="1">
      <c r="A282" s="31"/>
      <c r="B282" s="136"/>
      <c r="C282" s="173">
        <v>58</v>
      </c>
      <c r="D282" s="173" t="s">
        <v>174</v>
      </c>
      <c r="E282" s="174" t="s">
        <v>1073</v>
      </c>
      <c r="F282" s="175" t="s">
        <v>1074</v>
      </c>
      <c r="G282" s="176" t="s">
        <v>156</v>
      </c>
      <c r="H282" s="177">
        <v>6</v>
      </c>
      <c r="I282" s="281"/>
      <c r="J282" s="178">
        <f>ROUND(I282*H282,2)</f>
        <v>0</v>
      </c>
      <c r="K282" s="175" t="s">
        <v>151</v>
      </c>
      <c r="L282" s="179"/>
      <c r="M282" s="180" t="s">
        <v>3</v>
      </c>
      <c r="N282" s="181" t="s">
        <v>46</v>
      </c>
      <c r="O282" s="145">
        <v>0</v>
      </c>
      <c r="P282" s="145">
        <f>O282*H282</f>
        <v>0</v>
      </c>
      <c r="Q282" s="145">
        <v>0</v>
      </c>
      <c r="R282" s="145">
        <f>Q282*H282</f>
        <v>0</v>
      </c>
      <c r="S282" s="145">
        <v>0</v>
      </c>
      <c r="T282" s="146">
        <f>S282*H282</f>
        <v>0</v>
      </c>
      <c r="U282" s="31"/>
      <c r="V282" s="274"/>
      <c r="W282" s="275"/>
      <c r="X282" s="31"/>
      <c r="Y282" s="31"/>
      <c r="Z282" s="31"/>
      <c r="AA282" s="31"/>
      <c r="AB282" s="31"/>
      <c r="AC282" s="31"/>
      <c r="AD282" s="31"/>
      <c r="AE282" s="31"/>
      <c r="AR282" s="147" t="s">
        <v>248</v>
      </c>
      <c r="AT282" s="147" t="s">
        <v>174</v>
      </c>
      <c r="AU282" s="147" t="s">
        <v>85</v>
      </c>
      <c r="AY282" s="19" t="s">
        <v>144</v>
      </c>
      <c r="BE282" s="148">
        <f>IF(N282="základní",J282,0)</f>
        <v>0</v>
      </c>
      <c r="BF282" s="148">
        <f>IF(N282="snížená",J282,0)</f>
        <v>0</v>
      </c>
      <c r="BG282" s="148">
        <f>IF(N282="zákl. přenesená",J282,0)</f>
        <v>0</v>
      </c>
      <c r="BH282" s="148">
        <f>IF(N282="sníž. přenesená",J282,0)</f>
        <v>0</v>
      </c>
      <c r="BI282" s="148">
        <f>IF(N282="nulová",J282,0)</f>
        <v>0</v>
      </c>
      <c r="BJ282" s="19" t="s">
        <v>83</v>
      </c>
      <c r="BK282" s="148">
        <f>ROUND(I282*H282,2)</f>
        <v>0</v>
      </c>
      <c r="BL282" s="19" t="s">
        <v>218</v>
      </c>
      <c r="BM282" s="147" t="s">
        <v>1075</v>
      </c>
    </row>
    <row r="283" spans="1:65" s="2" customFormat="1" ht="24.2" customHeight="1">
      <c r="A283" s="277"/>
      <c r="B283" s="136"/>
      <c r="C283" s="137">
        <v>59</v>
      </c>
      <c r="D283" s="137" t="s">
        <v>147</v>
      </c>
      <c r="E283" s="138" t="s">
        <v>1830</v>
      </c>
      <c r="F283" s="139" t="s">
        <v>1827</v>
      </c>
      <c r="G283" s="140" t="s">
        <v>156</v>
      </c>
      <c r="H283" s="141">
        <f>H288</f>
        <v>1</v>
      </c>
      <c r="I283" s="142"/>
      <c r="J283" s="142">
        <f>ROUND(I283*H283,2)</f>
        <v>0</v>
      </c>
      <c r="K283" s="139" t="s">
        <v>157</v>
      </c>
      <c r="L283" s="32"/>
      <c r="M283" s="143" t="s">
        <v>3</v>
      </c>
      <c r="N283" s="144" t="s">
        <v>46</v>
      </c>
      <c r="O283" s="145">
        <v>1.1</v>
      </c>
      <c r="P283" s="145">
        <f>O283*H283</f>
        <v>1.1</v>
      </c>
      <c r="Q283" s="145">
        <v>0.00247</v>
      </c>
      <c r="R283" s="145">
        <f>Q283*H283</f>
        <v>0.00247</v>
      </c>
      <c r="S283" s="145">
        <v>0</v>
      </c>
      <c r="T283" s="146">
        <f>S283*H283</f>
        <v>0</v>
      </c>
      <c r="U283" s="277"/>
      <c r="V283" s="277"/>
      <c r="W283" s="277"/>
      <c r="X283" s="277"/>
      <c r="Y283" s="277"/>
      <c r="Z283" s="277"/>
      <c r="AA283" s="277"/>
      <c r="AB283" s="277"/>
      <c r="AC283" s="277"/>
      <c r="AD283" s="277"/>
      <c r="AE283" s="277"/>
      <c r="AR283" s="147" t="s">
        <v>218</v>
      </c>
      <c r="AT283" s="147" t="s">
        <v>147</v>
      </c>
      <c r="AU283" s="147" t="s">
        <v>85</v>
      </c>
      <c r="AY283" s="19" t="s">
        <v>144</v>
      </c>
      <c r="BE283" s="148">
        <f>IF(N283="základní",J283,0)</f>
        <v>0</v>
      </c>
      <c r="BF283" s="148">
        <f>IF(N283="snížená",J283,0)</f>
        <v>0</v>
      </c>
      <c r="BG283" s="148">
        <f>IF(N283="zákl. přenesená",J283,0)</f>
        <v>0</v>
      </c>
      <c r="BH283" s="148">
        <f>IF(N283="sníž. přenesená",J283,0)</f>
        <v>0</v>
      </c>
      <c r="BI283" s="148">
        <f>IF(N283="nulová",J283,0)</f>
        <v>0</v>
      </c>
      <c r="BJ283" s="19" t="s">
        <v>83</v>
      </c>
      <c r="BK283" s="148">
        <f>ROUND(I283*H283,2)</f>
        <v>0</v>
      </c>
      <c r="BL283" s="19" t="s">
        <v>218</v>
      </c>
      <c r="BM283" s="147" t="s">
        <v>1070</v>
      </c>
    </row>
    <row r="284" spans="1:47" s="2" customFormat="1" ht="39">
      <c r="A284" s="277"/>
      <c r="B284" s="32"/>
      <c r="C284" s="277"/>
      <c r="D284" s="150" t="s">
        <v>158</v>
      </c>
      <c r="E284" s="277"/>
      <c r="F284" s="163" t="s">
        <v>1828</v>
      </c>
      <c r="G284" s="277"/>
      <c r="H284" s="277"/>
      <c r="I284" s="277"/>
      <c r="J284" s="277"/>
      <c r="K284" s="277"/>
      <c r="L284" s="32"/>
      <c r="M284" s="164"/>
      <c r="N284" s="165"/>
      <c r="O284" s="52"/>
      <c r="P284" s="52"/>
      <c r="Q284" s="52"/>
      <c r="R284" s="52"/>
      <c r="S284" s="52"/>
      <c r="T284" s="53"/>
      <c r="U284" s="277"/>
      <c r="V284" s="277"/>
      <c r="W284" s="277"/>
      <c r="X284" s="277"/>
      <c r="Y284" s="277"/>
      <c r="Z284" s="277"/>
      <c r="AA284" s="277"/>
      <c r="AB284" s="277"/>
      <c r="AC284" s="277"/>
      <c r="AD284" s="277"/>
      <c r="AE284" s="277"/>
      <c r="AT284" s="19" t="s">
        <v>158</v>
      </c>
      <c r="AU284" s="19" t="s">
        <v>85</v>
      </c>
    </row>
    <row r="285" spans="1:47" s="2" customFormat="1" ht="29.25">
      <c r="A285" s="277"/>
      <c r="B285" s="32"/>
      <c r="C285" s="277"/>
      <c r="D285" s="150" t="s">
        <v>270</v>
      </c>
      <c r="E285" s="277"/>
      <c r="F285" s="163" t="s">
        <v>1072</v>
      </c>
      <c r="G285" s="277"/>
      <c r="H285" s="277"/>
      <c r="I285" s="277"/>
      <c r="J285" s="277"/>
      <c r="K285" s="277"/>
      <c r="L285" s="32"/>
      <c r="M285" s="164"/>
      <c r="N285" s="165"/>
      <c r="O285" s="52"/>
      <c r="P285" s="52"/>
      <c r="Q285" s="52"/>
      <c r="R285" s="52"/>
      <c r="S285" s="52"/>
      <c r="T285" s="53"/>
      <c r="U285" s="277"/>
      <c r="V285" s="277"/>
      <c r="W285" s="277"/>
      <c r="X285" s="277"/>
      <c r="Y285" s="277"/>
      <c r="Z285" s="277"/>
      <c r="AA285" s="277"/>
      <c r="AB285" s="277"/>
      <c r="AC285" s="277"/>
      <c r="AD285" s="277"/>
      <c r="AE285" s="277"/>
      <c r="AT285" s="19" t="s">
        <v>270</v>
      </c>
      <c r="AU285" s="19" t="s">
        <v>85</v>
      </c>
    </row>
    <row r="286" spans="2:51" s="13" customFormat="1" ht="12">
      <c r="B286" s="149"/>
      <c r="D286" s="150" t="s">
        <v>154</v>
      </c>
      <c r="E286" s="151" t="s">
        <v>3</v>
      </c>
      <c r="F286" s="152" t="s">
        <v>893</v>
      </c>
      <c r="H286" s="151" t="s">
        <v>3</v>
      </c>
      <c r="L286" s="149"/>
      <c r="M286" s="153"/>
      <c r="N286" s="154"/>
      <c r="O286" s="154"/>
      <c r="P286" s="154"/>
      <c r="Q286" s="154"/>
      <c r="R286" s="154"/>
      <c r="S286" s="154"/>
      <c r="T286" s="155"/>
      <c r="AT286" s="151" t="s">
        <v>154</v>
      </c>
      <c r="AU286" s="151" t="s">
        <v>85</v>
      </c>
      <c r="AV286" s="13" t="s">
        <v>83</v>
      </c>
      <c r="AW286" s="13" t="s">
        <v>37</v>
      </c>
      <c r="AX286" s="13" t="s">
        <v>75</v>
      </c>
      <c r="AY286" s="151" t="s">
        <v>144</v>
      </c>
    </row>
    <row r="287" spans="2:51" s="13" customFormat="1" ht="12">
      <c r="B287" s="149"/>
      <c r="D287" s="150" t="s">
        <v>154</v>
      </c>
      <c r="E287" s="151" t="s">
        <v>3</v>
      </c>
      <c r="F287" s="152" t="s">
        <v>166</v>
      </c>
      <c r="H287" s="151" t="s">
        <v>3</v>
      </c>
      <c r="L287" s="149"/>
      <c r="M287" s="153"/>
      <c r="N287" s="154"/>
      <c r="O287" s="154"/>
      <c r="P287" s="154"/>
      <c r="Q287" s="154"/>
      <c r="R287" s="154"/>
      <c r="S287" s="154"/>
      <c r="T287" s="155"/>
      <c r="AT287" s="151" t="s">
        <v>154</v>
      </c>
      <c r="AU287" s="151" t="s">
        <v>85</v>
      </c>
      <c r="AV287" s="13" t="s">
        <v>83</v>
      </c>
      <c r="AW287" s="13" t="s">
        <v>37</v>
      </c>
      <c r="AX287" s="13" t="s">
        <v>75</v>
      </c>
      <c r="AY287" s="151" t="s">
        <v>144</v>
      </c>
    </row>
    <row r="288" spans="2:51" s="14" customFormat="1" ht="12">
      <c r="B288" s="156"/>
      <c r="D288" s="150" t="s">
        <v>154</v>
      </c>
      <c r="E288" s="157" t="s">
        <v>3</v>
      </c>
      <c r="F288" s="158">
        <v>1</v>
      </c>
      <c r="H288" s="159">
        <v>1</v>
      </c>
      <c r="L288" s="156"/>
      <c r="M288" s="160"/>
      <c r="N288" s="161"/>
      <c r="O288" s="161"/>
      <c r="P288" s="161"/>
      <c r="Q288" s="161"/>
      <c r="R288" s="161"/>
      <c r="S288" s="161"/>
      <c r="T288" s="162"/>
      <c r="AT288" s="157" t="s">
        <v>154</v>
      </c>
      <c r="AU288" s="157" t="s">
        <v>85</v>
      </c>
      <c r="AV288" s="14" t="s">
        <v>85</v>
      </c>
      <c r="AW288" s="14" t="s">
        <v>37</v>
      </c>
      <c r="AX288" s="14" t="s">
        <v>75</v>
      </c>
      <c r="AY288" s="157" t="s">
        <v>144</v>
      </c>
    </row>
    <row r="289" spans="1:65" s="2" customFormat="1" ht="37.9" customHeight="1">
      <c r="A289" s="277"/>
      <c r="B289" s="136"/>
      <c r="C289" s="173">
        <v>60</v>
      </c>
      <c r="D289" s="173" t="s">
        <v>174</v>
      </c>
      <c r="E289" s="174" t="s">
        <v>1831</v>
      </c>
      <c r="F289" s="175" t="s">
        <v>1829</v>
      </c>
      <c r="G289" s="176" t="s">
        <v>156</v>
      </c>
      <c r="H289" s="177">
        <f>H283</f>
        <v>1</v>
      </c>
      <c r="I289" s="281"/>
      <c r="J289" s="178">
        <f>ROUND(I289*H289,2)</f>
        <v>0</v>
      </c>
      <c r="K289" s="175" t="s">
        <v>151</v>
      </c>
      <c r="L289" s="179"/>
      <c r="M289" s="180" t="s">
        <v>3</v>
      </c>
      <c r="N289" s="181" t="s">
        <v>46</v>
      </c>
      <c r="O289" s="145">
        <v>0</v>
      </c>
      <c r="P289" s="145">
        <f>O289*H289</f>
        <v>0</v>
      </c>
      <c r="Q289" s="145">
        <v>0</v>
      </c>
      <c r="R289" s="145">
        <f>Q289*H289</f>
        <v>0</v>
      </c>
      <c r="S289" s="145">
        <v>0</v>
      </c>
      <c r="T289" s="146">
        <f>S289*H289</f>
        <v>0</v>
      </c>
      <c r="U289" s="277"/>
      <c r="V289" s="274"/>
      <c r="W289" s="275"/>
      <c r="X289" s="277"/>
      <c r="Y289" s="277"/>
      <c r="Z289" s="277"/>
      <c r="AA289" s="277"/>
      <c r="AB289" s="277"/>
      <c r="AC289" s="277"/>
      <c r="AD289" s="277"/>
      <c r="AE289" s="277"/>
      <c r="AR289" s="147" t="s">
        <v>248</v>
      </c>
      <c r="AT289" s="147" t="s">
        <v>174</v>
      </c>
      <c r="AU289" s="147" t="s">
        <v>85</v>
      </c>
      <c r="AY289" s="19" t="s">
        <v>144</v>
      </c>
      <c r="BE289" s="148">
        <f>IF(N289="základní",J289,0)</f>
        <v>0</v>
      </c>
      <c r="BF289" s="148">
        <f>IF(N289="snížená",J289,0)</f>
        <v>0</v>
      </c>
      <c r="BG289" s="148">
        <f>IF(N289="zákl. přenesená",J289,0)</f>
        <v>0</v>
      </c>
      <c r="BH289" s="148">
        <f>IF(N289="sníž. přenesená",J289,0)</f>
        <v>0</v>
      </c>
      <c r="BI289" s="148">
        <f>IF(N289="nulová",J289,0)</f>
        <v>0</v>
      </c>
      <c r="BJ289" s="19" t="s">
        <v>83</v>
      </c>
      <c r="BK289" s="148">
        <f>ROUND(I289*H289,2)</f>
        <v>0</v>
      </c>
      <c r="BL289" s="19" t="s">
        <v>218</v>
      </c>
      <c r="BM289" s="147" t="s">
        <v>1075</v>
      </c>
    </row>
    <row r="290" spans="1:65" s="2" customFormat="1" ht="14.45" customHeight="1">
      <c r="A290" s="31"/>
      <c r="B290" s="136"/>
      <c r="C290" s="137">
        <v>61</v>
      </c>
      <c r="D290" s="137" t="s">
        <v>147</v>
      </c>
      <c r="E290" s="138" t="s">
        <v>1076</v>
      </c>
      <c r="F290" s="139" t="s">
        <v>1077</v>
      </c>
      <c r="G290" s="140" t="s">
        <v>960</v>
      </c>
      <c r="H290" s="141">
        <f>H294+H296</f>
        <v>8</v>
      </c>
      <c r="I290" s="278"/>
      <c r="J290" s="142">
        <f>ROUND(I290*H290,2)</f>
        <v>0</v>
      </c>
      <c r="K290" s="139" t="s">
        <v>157</v>
      </c>
      <c r="L290" s="32"/>
      <c r="M290" s="143" t="s">
        <v>3</v>
      </c>
      <c r="N290" s="144" t="s">
        <v>46</v>
      </c>
      <c r="O290" s="145">
        <v>1.1</v>
      </c>
      <c r="P290" s="145">
        <f>O290*H290</f>
        <v>8.8</v>
      </c>
      <c r="Q290" s="145">
        <v>0.00173</v>
      </c>
      <c r="R290" s="145">
        <f>Q290*H290</f>
        <v>0.01384</v>
      </c>
      <c r="S290" s="145">
        <v>0</v>
      </c>
      <c r="T290" s="146">
        <f>S290*H290</f>
        <v>0</v>
      </c>
      <c r="U290" s="31"/>
      <c r="V290" s="31"/>
      <c r="W290" s="31"/>
      <c r="X290" s="31"/>
      <c r="Y290" s="31"/>
      <c r="Z290" s="31"/>
      <c r="AA290" s="31"/>
      <c r="AB290" s="31"/>
      <c r="AC290" s="31"/>
      <c r="AD290" s="31"/>
      <c r="AE290" s="31"/>
      <c r="AR290" s="147" t="s">
        <v>218</v>
      </c>
      <c r="AT290" s="147" t="s">
        <v>147</v>
      </c>
      <c r="AU290" s="147" t="s">
        <v>85</v>
      </c>
      <c r="AY290" s="19" t="s">
        <v>144</v>
      </c>
      <c r="BE290" s="148">
        <f>IF(N290="základní",J290,0)</f>
        <v>0</v>
      </c>
      <c r="BF290" s="148">
        <f>IF(N290="snížená",J290,0)</f>
        <v>0</v>
      </c>
      <c r="BG290" s="148">
        <f>IF(N290="zákl. přenesená",J290,0)</f>
        <v>0</v>
      </c>
      <c r="BH290" s="148">
        <f>IF(N290="sníž. přenesená",J290,0)</f>
        <v>0</v>
      </c>
      <c r="BI290" s="148">
        <f>IF(N290="nulová",J290,0)</f>
        <v>0</v>
      </c>
      <c r="BJ290" s="19" t="s">
        <v>83</v>
      </c>
      <c r="BK290" s="148">
        <f>ROUND(I290*H290,2)</f>
        <v>0</v>
      </c>
      <c r="BL290" s="19" t="s">
        <v>218</v>
      </c>
      <c r="BM290" s="147" t="s">
        <v>1078</v>
      </c>
    </row>
    <row r="291" spans="1:47" s="2" customFormat="1" ht="107.25">
      <c r="A291" s="31"/>
      <c r="B291" s="32"/>
      <c r="C291" s="31"/>
      <c r="D291" s="150" t="s">
        <v>158</v>
      </c>
      <c r="E291" s="31"/>
      <c r="F291" s="163" t="s">
        <v>1079</v>
      </c>
      <c r="G291" s="31"/>
      <c r="H291" s="31"/>
      <c r="I291" s="279"/>
      <c r="J291" s="31"/>
      <c r="K291" s="31"/>
      <c r="L291" s="32"/>
      <c r="M291" s="164"/>
      <c r="N291" s="165"/>
      <c r="O291" s="52"/>
      <c r="P291" s="52"/>
      <c r="Q291" s="52"/>
      <c r="R291" s="52"/>
      <c r="S291" s="52"/>
      <c r="T291" s="53"/>
      <c r="U291" s="31"/>
      <c r="V291" s="31"/>
      <c r="W291" s="31"/>
      <c r="X291" s="31"/>
      <c r="Y291" s="31"/>
      <c r="Z291" s="31"/>
      <c r="AA291" s="31"/>
      <c r="AB291" s="31"/>
      <c r="AC291" s="31"/>
      <c r="AD291" s="31"/>
      <c r="AE291" s="31"/>
      <c r="AT291" s="19" t="s">
        <v>158</v>
      </c>
      <c r="AU291" s="19" t="s">
        <v>85</v>
      </c>
    </row>
    <row r="292" spans="2:51" s="13" customFormat="1" ht="12">
      <c r="B292" s="149"/>
      <c r="D292" s="150" t="s">
        <v>154</v>
      </c>
      <c r="E292" s="151" t="s">
        <v>3</v>
      </c>
      <c r="F292" s="152" t="s">
        <v>893</v>
      </c>
      <c r="H292" s="151" t="s">
        <v>3</v>
      </c>
      <c r="I292" s="282"/>
      <c r="L292" s="149"/>
      <c r="M292" s="153"/>
      <c r="N292" s="154"/>
      <c r="O292" s="154"/>
      <c r="P292" s="154"/>
      <c r="Q292" s="154"/>
      <c r="R292" s="154"/>
      <c r="S292" s="154"/>
      <c r="T292" s="155"/>
      <c r="AT292" s="151" t="s">
        <v>154</v>
      </c>
      <c r="AU292" s="151" t="s">
        <v>85</v>
      </c>
      <c r="AV292" s="13" t="s">
        <v>83</v>
      </c>
      <c r="AW292" s="13" t="s">
        <v>37</v>
      </c>
      <c r="AX292" s="13" t="s">
        <v>75</v>
      </c>
      <c r="AY292" s="151" t="s">
        <v>144</v>
      </c>
    </row>
    <row r="293" spans="2:51" s="13" customFormat="1" ht="12">
      <c r="B293" s="149"/>
      <c r="D293" s="150" t="s">
        <v>154</v>
      </c>
      <c r="E293" s="151" t="s">
        <v>3</v>
      </c>
      <c r="F293" s="152" t="s">
        <v>166</v>
      </c>
      <c r="H293" s="151" t="s">
        <v>3</v>
      </c>
      <c r="I293" s="282"/>
      <c r="L293" s="149"/>
      <c r="M293" s="153"/>
      <c r="N293" s="154"/>
      <c r="O293" s="154"/>
      <c r="P293" s="154"/>
      <c r="Q293" s="154"/>
      <c r="R293" s="154"/>
      <c r="S293" s="154"/>
      <c r="T293" s="155"/>
      <c r="AT293" s="151" t="s">
        <v>154</v>
      </c>
      <c r="AU293" s="151" t="s">
        <v>85</v>
      </c>
      <c r="AV293" s="13" t="s">
        <v>83</v>
      </c>
      <c r="AW293" s="13" t="s">
        <v>37</v>
      </c>
      <c r="AX293" s="13" t="s">
        <v>75</v>
      </c>
      <c r="AY293" s="151" t="s">
        <v>144</v>
      </c>
    </row>
    <row r="294" spans="2:51" s="14" customFormat="1" ht="12">
      <c r="B294" s="156"/>
      <c r="D294" s="150" t="s">
        <v>154</v>
      </c>
      <c r="E294" s="157" t="s">
        <v>3</v>
      </c>
      <c r="F294" s="158">
        <v>4</v>
      </c>
      <c r="H294" s="159">
        <v>4</v>
      </c>
      <c r="I294" s="280"/>
      <c r="L294" s="156"/>
      <c r="M294" s="160"/>
      <c r="N294" s="161"/>
      <c r="O294" s="161"/>
      <c r="P294" s="161"/>
      <c r="Q294" s="161"/>
      <c r="R294" s="161"/>
      <c r="S294" s="161"/>
      <c r="T294" s="162"/>
      <c r="AT294" s="157" t="s">
        <v>154</v>
      </c>
      <c r="AU294" s="157" t="s">
        <v>85</v>
      </c>
      <c r="AV294" s="14" t="s">
        <v>85</v>
      </c>
      <c r="AW294" s="14" t="s">
        <v>37</v>
      </c>
      <c r="AX294" s="14" t="s">
        <v>75</v>
      </c>
      <c r="AY294" s="157" t="s">
        <v>144</v>
      </c>
    </row>
    <row r="295" spans="2:51" s="13" customFormat="1" ht="12">
      <c r="B295" s="149"/>
      <c r="D295" s="150" t="s">
        <v>154</v>
      </c>
      <c r="E295" s="151" t="s">
        <v>3</v>
      </c>
      <c r="F295" s="152" t="s">
        <v>167</v>
      </c>
      <c r="H295" s="151" t="s">
        <v>3</v>
      </c>
      <c r="I295" s="282"/>
      <c r="L295" s="149"/>
      <c r="M295" s="153"/>
      <c r="N295" s="154"/>
      <c r="O295" s="154"/>
      <c r="P295" s="154"/>
      <c r="Q295" s="154"/>
      <c r="R295" s="154"/>
      <c r="S295" s="154"/>
      <c r="T295" s="155"/>
      <c r="AT295" s="151" t="s">
        <v>154</v>
      </c>
      <c r="AU295" s="151" t="s">
        <v>85</v>
      </c>
      <c r="AV295" s="13" t="s">
        <v>83</v>
      </c>
      <c r="AW295" s="13" t="s">
        <v>37</v>
      </c>
      <c r="AX295" s="13" t="s">
        <v>75</v>
      </c>
      <c r="AY295" s="151" t="s">
        <v>144</v>
      </c>
    </row>
    <row r="296" spans="2:51" s="14" customFormat="1" ht="12">
      <c r="B296" s="156"/>
      <c r="D296" s="150" t="s">
        <v>154</v>
      </c>
      <c r="E296" s="157" t="s">
        <v>3</v>
      </c>
      <c r="F296" s="158">
        <v>4</v>
      </c>
      <c r="H296" s="159">
        <v>4</v>
      </c>
      <c r="I296" s="280"/>
      <c r="L296" s="156"/>
      <c r="M296" s="160"/>
      <c r="N296" s="161"/>
      <c r="O296" s="161"/>
      <c r="P296" s="161"/>
      <c r="Q296" s="161"/>
      <c r="R296" s="161"/>
      <c r="S296" s="161"/>
      <c r="T296" s="162"/>
      <c r="AT296" s="157" t="s">
        <v>154</v>
      </c>
      <c r="AU296" s="157" t="s">
        <v>85</v>
      </c>
      <c r="AV296" s="14" t="s">
        <v>85</v>
      </c>
      <c r="AW296" s="14" t="s">
        <v>37</v>
      </c>
      <c r="AX296" s="14" t="s">
        <v>75</v>
      </c>
      <c r="AY296" s="157" t="s">
        <v>144</v>
      </c>
    </row>
    <row r="297" spans="1:65" s="2" customFormat="1" ht="24.2" customHeight="1">
      <c r="A297" s="31"/>
      <c r="B297" s="136"/>
      <c r="C297" s="173">
        <v>62</v>
      </c>
      <c r="D297" s="173" t="s">
        <v>174</v>
      </c>
      <c r="E297" s="174" t="s">
        <v>1080</v>
      </c>
      <c r="F297" s="175" t="s">
        <v>1081</v>
      </c>
      <c r="G297" s="176" t="s">
        <v>156</v>
      </c>
      <c r="H297" s="177">
        <f>H290</f>
        <v>8</v>
      </c>
      <c r="I297" s="281"/>
      <c r="J297" s="178">
        <f>ROUND(I297*H297,2)</f>
        <v>0</v>
      </c>
      <c r="K297" s="175" t="s">
        <v>151</v>
      </c>
      <c r="L297" s="179"/>
      <c r="M297" s="180" t="s">
        <v>3</v>
      </c>
      <c r="N297" s="181" t="s">
        <v>46</v>
      </c>
      <c r="O297" s="145">
        <v>0</v>
      </c>
      <c r="P297" s="145">
        <f>O297*H297</f>
        <v>0</v>
      </c>
      <c r="Q297" s="145">
        <v>0</v>
      </c>
      <c r="R297" s="145">
        <f>Q297*H297</f>
        <v>0</v>
      </c>
      <c r="S297" s="145">
        <v>0</v>
      </c>
      <c r="T297" s="146">
        <f>S297*H297</f>
        <v>0</v>
      </c>
      <c r="U297" s="31"/>
      <c r="V297" s="274"/>
      <c r="W297" s="275"/>
      <c r="X297" s="31"/>
      <c r="Y297" s="31"/>
      <c r="Z297" s="31"/>
      <c r="AA297" s="31"/>
      <c r="AB297" s="31"/>
      <c r="AC297" s="31"/>
      <c r="AD297" s="31"/>
      <c r="AE297" s="31"/>
      <c r="AR297" s="147" t="s">
        <v>248</v>
      </c>
      <c r="AT297" s="147" t="s">
        <v>174</v>
      </c>
      <c r="AU297" s="147" t="s">
        <v>85</v>
      </c>
      <c r="AY297" s="19" t="s">
        <v>144</v>
      </c>
      <c r="BE297" s="148">
        <f>IF(N297="základní",J297,0)</f>
        <v>0</v>
      </c>
      <c r="BF297" s="148">
        <f>IF(N297="snížená",J297,0)</f>
        <v>0</v>
      </c>
      <c r="BG297" s="148">
        <f>IF(N297="zákl. přenesená",J297,0)</f>
        <v>0</v>
      </c>
      <c r="BH297" s="148">
        <f>IF(N297="sníž. přenesená",J297,0)</f>
        <v>0</v>
      </c>
      <c r="BI297" s="148">
        <f>IF(N297="nulová",J297,0)</f>
        <v>0</v>
      </c>
      <c r="BJ297" s="19" t="s">
        <v>83</v>
      </c>
      <c r="BK297" s="148">
        <f>ROUND(I297*H297,2)</f>
        <v>0</v>
      </c>
      <c r="BL297" s="19" t="s">
        <v>218</v>
      </c>
      <c r="BM297" s="147" t="s">
        <v>1082</v>
      </c>
    </row>
    <row r="298" spans="1:65" s="2" customFormat="1" ht="24.2" customHeight="1">
      <c r="A298" s="31"/>
      <c r="B298" s="136"/>
      <c r="C298" s="137">
        <v>63</v>
      </c>
      <c r="D298" s="137" t="s">
        <v>147</v>
      </c>
      <c r="E298" s="138" t="s">
        <v>1083</v>
      </c>
      <c r="F298" s="139" t="s">
        <v>1084</v>
      </c>
      <c r="G298" s="140" t="s">
        <v>156</v>
      </c>
      <c r="H298" s="141">
        <f>H290</f>
        <v>8</v>
      </c>
      <c r="I298" s="278"/>
      <c r="J298" s="142">
        <f>ROUND(I298*H298,2)</f>
        <v>0</v>
      </c>
      <c r="K298" s="139" t="s">
        <v>157</v>
      </c>
      <c r="L298" s="32"/>
      <c r="M298" s="143" t="s">
        <v>3</v>
      </c>
      <c r="N298" s="144" t="s">
        <v>46</v>
      </c>
      <c r="O298" s="145">
        <v>0.32</v>
      </c>
      <c r="P298" s="145">
        <f>O298*H298</f>
        <v>2.56</v>
      </c>
      <c r="Q298" s="145">
        <v>4E-05</v>
      </c>
      <c r="R298" s="145">
        <f>Q298*H298</f>
        <v>0.00032</v>
      </c>
      <c r="S298" s="145">
        <v>0</v>
      </c>
      <c r="T298" s="146">
        <f>S298*H298</f>
        <v>0</v>
      </c>
      <c r="U298" s="31"/>
      <c r="V298" s="31"/>
      <c r="W298" s="31"/>
      <c r="X298" s="31"/>
      <c r="Y298" s="31"/>
      <c r="Z298" s="31"/>
      <c r="AA298" s="31"/>
      <c r="AB298" s="31"/>
      <c r="AC298" s="31"/>
      <c r="AD298" s="31"/>
      <c r="AE298" s="31"/>
      <c r="AR298" s="147" t="s">
        <v>218</v>
      </c>
      <c r="AT298" s="147" t="s">
        <v>147</v>
      </c>
      <c r="AU298" s="147" t="s">
        <v>85</v>
      </c>
      <c r="AY298" s="19" t="s">
        <v>144</v>
      </c>
      <c r="BE298" s="148">
        <f>IF(N298="základní",J298,0)</f>
        <v>0</v>
      </c>
      <c r="BF298" s="148">
        <f>IF(N298="snížená",J298,0)</f>
        <v>0</v>
      </c>
      <c r="BG298" s="148">
        <f>IF(N298="zákl. přenesená",J298,0)</f>
        <v>0</v>
      </c>
      <c r="BH298" s="148">
        <f>IF(N298="sníž. přenesená",J298,0)</f>
        <v>0</v>
      </c>
      <c r="BI298" s="148">
        <f>IF(N298="nulová",J298,0)</f>
        <v>0</v>
      </c>
      <c r="BJ298" s="19" t="s">
        <v>83</v>
      </c>
      <c r="BK298" s="148">
        <f>ROUND(I298*H298,2)</f>
        <v>0</v>
      </c>
      <c r="BL298" s="19" t="s">
        <v>218</v>
      </c>
      <c r="BM298" s="147" t="s">
        <v>1085</v>
      </c>
    </row>
    <row r="299" spans="1:47" s="2" customFormat="1" ht="29.25">
      <c r="A299" s="31"/>
      <c r="B299" s="32"/>
      <c r="C299" s="31"/>
      <c r="D299" s="150" t="s">
        <v>158</v>
      </c>
      <c r="E299" s="31"/>
      <c r="F299" s="163" t="s">
        <v>1086</v>
      </c>
      <c r="G299" s="31"/>
      <c r="H299" s="31"/>
      <c r="I299" s="279"/>
      <c r="J299" s="31"/>
      <c r="K299" s="31"/>
      <c r="L299" s="32"/>
      <c r="M299" s="164"/>
      <c r="N299" s="165"/>
      <c r="O299" s="52"/>
      <c r="P299" s="52"/>
      <c r="Q299" s="52"/>
      <c r="R299" s="52"/>
      <c r="S299" s="52"/>
      <c r="T299" s="53"/>
      <c r="U299" s="31"/>
      <c r="V299" s="31"/>
      <c r="W299" s="31"/>
      <c r="X299" s="31"/>
      <c r="Y299" s="31"/>
      <c r="Z299" s="31"/>
      <c r="AA299" s="31"/>
      <c r="AB299" s="31"/>
      <c r="AC299" s="31"/>
      <c r="AD299" s="31"/>
      <c r="AE299" s="31"/>
      <c r="AT299" s="19" t="s">
        <v>158</v>
      </c>
      <c r="AU299" s="19" t="s">
        <v>85</v>
      </c>
    </row>
    <row r="300" spans="1:65" s="2" customFormat="1" ht="24.2" customHeight="1">
      <c r="A300" s="31"/>
      <c r="B300" s="136"/>
      <c r="C300" s="173">
        <v>64</v>
      </c>
      <c r="D300" s="173" t="s">
        <v>174</v>
      </c>
      <c r="E300" s="174" t="s">
        <v>1087</v>
      </c>
      <c r="F300" s="175" t="s">
        <v>1088</v>
      </c>
      <c r="G300" s="176" t="s">
        <v>156</v>
      </c>
      <c r="H300" s="177">
        <f>H290</f>
        <v>8</v>
      </c>
      <c r="I300" s="281"/>
      <c r="J300" s="178">
        <f>ROUND(I300*H300,2)</f>
        <v>0</v>
      </c>
      <c r="K300" s="175" t="s">
        <v>151</v>
      </c>
      <c r="L300" s="179"/>
      <c r="M300" s="180" t="s">
        <v>3</v>
      </c>
      <c r="N300" s="181" t="s">
        <v>46</v>
      </c>
      <c r="O300" s="145">
        <v>0</v>
      </c>
      <c r="P300" s="145">
        <f>O300*H300</f>
        <v>0</v>
      </c>
      <c r="Q300" s="145">
        <v>0</v>
      </c>
      <c r="R300" s="145">
        <f>Q300*H300</f>
        <v>0</v>
      </c>
      <c r="S300" s="145">
        <v>0</v>
      </c>
      <c r="T300" s="146">
        <f>S300*H300</f>
        <v>0</v>
      </c>
      <c r="U300" s="31"/>
      <c r="V300" s="31"/>
      <c r="W300" s="31"/>
      <c r="X300" s="31"/>
      <c r="Y300" s="31"/>
      <c r="Z300" s="31"/>
      <c r="AA300" s="31"/>
      <c r="AB300" s="31"/>
      <c r="AC300" s="31"/>
      <c r="AD300" s="31"/>
      <c r="AE300" s="31"/>
      <c r="AR300" s="147" t="s">
        <v>248</v>
      </c>
      <c r="AT300" s="147" t="s">
        <v>174</v>
      </c>
      <c r="AU300" s="147" t="s">
        <v>85</v>
      </c>
      <c r="AY300" s="19" t="s">
        <v>144</v>
      </c>
      <c r="BE300" s="148">
        <f>IF(N300="základní",J300,0)</f>
        <v>0</v>
      </c>
      <c r="BF300" s="148">
        <f>IF(N300="snížená",J300,0)</f>
        <v>0</v>
      </c>
      <c r="BG300" s="148">
        <f>IF(N300="zákl. přenesená",J300,0)</f>
        <v>0</v>
      </c>
      <c r="BH300" s="148">
        <f>IF(N300="sníž. přenesená",J300,0)</f>
        <v>0</v>
      </c>
      <c r="BI300" s="148">
        <f>IF(N300="nulová",J300,0)</f>
        <v>0</v>
      </c>
      <c r="BJ300" s="19" t="s">
        <v>83</v>
      </c>
      <c r="BK300" s="148">
        <f>ROUND(I300*H300,2)</f>
        <v>0</v>
      </c>
      <c r="BL300" s="19" t="s">
        <v>218</v>
      </c>
      <c r="BM300" s="147" t="s">
        <v>1089</v>
      </c>
    </row>
    <row r="301" spans="1:65" s="2" customFormat="1" ht="24.2" customHeight="1">
      <c r="A301" s="31"/>
      <c r="B301" s="136"/>
      <c r="C301" s="137">
        <v>65</v>
      </c>
      <c r="D301" s="137" t="s">
        <v>147</v>
      </c>
      <c r="E301" s="138" t="s">
        <v>1090</v>
      </c>
      <c r="F301" s="139" t="s">
        <v>1091</v>
      </c>
      <c r="G301" s="140" t="s">
        <v>156</v>
      </c>
      <c r="H301" s="141">
        <f>H290</f>
        <v>8</v>
      </c>
      <c r="I301" s="278"/>
      <c r="J301" s="142">
        <f>ROUND(I301*H301,2)</f>
        <v>0</v>
      </c>
      <c r="K301" s="139" t="s">
        <v>157</v>
      </c>
      <c r="L301" s="32"/>
      <c r="M301" s="143" t="s">
        <v>3</v>
      </c>
      <c r="N301" s="144" t="s">
        <v>46</v>
      </c>
      <c r="O301" s="145">
        <v>0.113</v>
      </c>
      <c r="P301" s="145">
        <f>O301*H301</f>
        <v>0.904</v>
      </c>
      <c r="Q301" s="145">
        <v>0.00024</v>
      </c>
      <c r="R301" s="145">
        <f>Q301*H301</f>
        <v>0.00192</v>
      </c>
      <c r="S301" s="145">
        <v>0</v>
      </c>
      <c r="T301" s="146">
        <f>S301*H301</f>
        <v>0</v>
      </c>
      <c r="U301" s="31"/>
      <c r="V301" s="31"/>
      <c r="W301" s="31"/>
      <c r="X301" s="31"/>
      <c r="Y301" s="31"/>
      <c r="Z301" s="31"/>
      <c r="AA301" s="31"/>
      <c r="AB301" s="31"/>
      <c r="AC301" s="31"/>
      <c r="AD301" s="31"/>
      <c r="AE301" s="31"/>
      <c r="AR301" s="147" t="s">
        <v>218</v>
      </c>
      <c r="AT301" s="147" t="s">
        <v>147</v>
      </c>
      <c r="AU301" s="147" t="s">
        <v>85</v>
      </c>
      <c r="AY301" s="19" t="s">
        <v>144</v>
      </c>
      <c r="BE301" s="148">
        <f>IF(N301="základní",J301,0)</f>
        <v>0</v>
      </c>
      <c r="BF301" s="148">
        <f>IF(N301="snížená",J301,0)</f>
        <v>0</v>
      </c>
      <c r="BG301" s="148">
        <f>IF(N301="zákl. přenesená",J301,0)</f>
        <v>0</v>
      </c>
      <c r="BH301" s="148">
        <f>IF(N301="sníž. přenesená",J301,0)</f>
        <v>0</v>
      </c>
      <c r="BI301" s="148">
        <f>IF(N301="nulová",J301,0)</f>
        <v>0</v>
      </c>
      <c r="BJ301" s="19" t="s">
        <v>83</v>
      </c>
      <c r="BK301" s="148">
        <f>ROUND(I301*H301,2)</f>
        <v>0</v>
      </c>
      <c r="BL301" s="19" t="s">
        <v>218</v>
      </c>
      <c r="BM301" s="147" t="s">
        <v>1092</v>
      </c>
    </row>
    <row r="302" spans="1:47" s="2" customFormat="1" ht="97.5">
      <c r="A302" s="31"/>
      <c r="B302" s="32"/>
      <c r="C302" s="31"/>
      <c r="D302" s="150" t="s">
        <v>158</v>
      </c>
      <c r="E302" s="31"/>
      <c r="F302" s="163" t="s">
        <v>1093</v>
      </c>
      <c r="G302" s="31"/>
      <c r="H302" s="31"/>
      <c r="I302" s="279"/>
      <c r="J302" s="31"/>
      <c r="K302" s="31"/>
      <c r="L302" s="32"/>
      <c r="M302" s="164"/>
      <c r="N302" s="165"/>
      <c r="O302" s="52"/>
      <c r="P302" s="52"/>
      <c r="Q302" s="52"/>
      <c r="R302" s="52"/>
      <c r="S302" s="52"/>
      <c r="T302" s="53"/>
      <c r="U302" s="31"/>
      <c r="V302" s="31"/>
      <c r="W302" s="31"/>
      <c r="X302" s="31"/>
      <c r="Y302" s="31"/>
      <c r="Z302" s="31"/>
      <c r="AA302" s="31"/>
      <c r="AB302" s="31"/>
      <c r="AC302" s="31"/>
      <c r="AD302" s="31"/>
      <c r="AE302" s="31"/>
      <c r="AT302" s="19" t="s">
        <v>158</v>
      </c>
      <c r="AU302" s="19" t="s">
        <v>85</v>
      </c>
    </row>
    <row r="303" spans="1:65" s="2" customFormat="1" ht="24.2" customHeight="1">
      <c r="A303" s="31"/>
      <c r="B303" s="136"/>
      <c r="C303" s="137">
        <v>66</v>
      </c>
      <c r="D303" s="137" t="s">
        <v>147</v>
      </c>
      <c r="E303" s="138" t="s">
        <v>1094</v>
      </c>
      <c r="F303" s="139" t="s">
        <v>1095</v>
      </c>
      <c r="G303" s="140" t="s">
        <v>156</v>
      </c>
      <c r="H303" s="141">
        <v>2</v>
      </c>
      <c r="I303" s="278"/>
      <c r="J303" s="142">
        <f>ROUND(I303*H303,2)</f>
        <v>0</v>
      </c>
      <c r="K303" s="139" t="s">
        <v>157</v>
      </c>
      <c r="L303" s="32"/>
      <c r="M303" s="143" t="s">
        <v>3</v>
      </c>
      <c r="N303" s="144" t="s">
        <v>46</v>
      </c>
      <c r="O303" s="145">
        <v>0.113</v>
      </c>
      <c r="P303" s="145">
        <f>O303*H303</f>
        <v>0.226</v>
      </c>
      <c r="Q303" s="145">
        <v>0.00028</v>
      </c>
      <c r="R303" s="145">
        <f>Q303*H303</f>
        <v>0.00056</v>
      </c>
      <c r="S303" s="145">
        <v>0</v>
      </c>
      <c r="T303" s="146">
        <f>S303*H303</f>
        <v>0</v>
      </c>
      <c r="U303" s="31"/>
      <c r="V303" s="31"/>
      <c r="W303" s="31"/>
      <c r="X303" s="31"/>
      <c r="Y303" s="31"/>
      <c r="Z303" s="31"/>
      <c r="AA303" s="31"/>
      <c r="AB303" s="31"/>
      <c r="AC303" s="31"/>
      <c r="AD303" s="31"/>
      <c r="AE303" s="31"/>
      <c r="AR303" s="147" t="s">
        <v>218</v>
      </c>
      <c r="AT303" s="147" t="s">
        <v>147</v>
      </c>
      <c r="AU303" s="147" t="s">
        <v>85</v>
      </c>
      <c r="AY303" s="19" t="s">
        <v>144</v>
      </c>
      <c r="BE303" s="148">
        <f>IF(N303="základní",J303,0)</f>
        <v>0</v>
      </c>
      <c r="BF303" s="148">
        <f>IF(N303="snížená",J303,0)</f>
        <v>0</v>
      </c>
      <c r="BG303" s="148">
        <f>IF(N303="zákl. přenesená",J303,0)</f>
        <v>0</v>
      </c>
      <c r="BH303" s="148">
        <f>IF(N303="sníž. přenesená",J303,0)</f>
        <v>0</v>
      </c>
      <c r="BI303" s="148">
        <f>IF(N303="nulová",J303,0)</f>
        <v>0</v>
      </c>
      <c r="BJ303" s="19" t="s">
        <v>83</v>
      </c>
      <c r="BK303" s="148">
        <f>ROUND(I303*H303,2)</f>
        <v>0</v>
      </c>
      <c r="BL303" s="19" t="s">
        <v>218</v>
      </c>
      <c r="BM303" s="147" t="s">
        <v>1096</v>
      </c>
    </row>
    <row r="304" spans="1:47" s="2" customFormat="1" ht="97.5">
      <c r="A304" s="31"/>
      <c r="B304" s="32"/>
      <c r="C304" s="31"/>
      <c r="D304" s="150" t="s">
        <v>158</v>
      </c>
      <c r="E304" s="31"/>
      <c r="F304" s="163" t="s">
        <v>1093</v>
      </c>
      <c r="G304" s="31"/>
      <c r="H304" s="31"/>
      <c r="I304" s="279"/>
      <c r="J304" s="31"/>
      <c r="K304" s="31"/>
      <c r="L304" s="32"/>
      <c r="M304" s="164"/>
      <c r="N304" s="165"/>
      <c r="O304" s="52"/>
      <c r="P304" s="52"/>
      <c r="Q304" s="52"/>
      <c r="R304" s="52"/>
      <c r="S304" s="52"/>
      <c r="T304" s="53"/>
      <c r="U304" s="31"/>
      <c r="V304" s="31"/>
      <c r="W304" s="31"/>
      <c r="X304" s="31"/>
      <c r="Y304" s="31"/>
      <c r="Z304" s="31"/>
      <c r="AA304" s="31"/>
      <c r="AB304" s="31"/>
      <c r="AC304" s="31"/>
      <c r="AD304" s="31"/>
      <c r="AE304" s="31"/>
      <c r="AT304" s="19" t="s">
        <v>158</v>
      </c>
      <c r="AU304" s="19" t="s">
        <v>85</v>
      </c>
    </row>
    <row r="305" spans="1:65" s="2" customFormat="1" ht="62.65" customHeight="1">
      <c r="A305" s="31"/>
      <c r="B305" s="136"/>
      <c r="C305" s="137">
        <v>67</v>
      </c>
      <c r="D305" s="137" t="s">
        <v>147</v>
      </c>
      <c r="E305" s="138" t="s">
        <v>1097</v>
      </c>
      <c r="F305" s="139" t="s">
        <v>1832</v>
      </c>
      <c r="G305" s="140" t="s">
        <v>960</v>
      </c>
      <c r="H305" s="141">
        <v>2</v>
      </c>
      <c r="I305" s="278"/>
      <c r="J305" s="142">
        <f>ROUND(I305*H305,2)</f>
        <v>0</v>
      </c>
      <c r="K305" s="139" t="s">
        <v>151</v>
      </c>
      <c r="L305" s="32"/>
      <c r="M305" s="143" t="s">
        <v>3</v>
      </c>
      <c r="N305" s="144" t="s">
        <v>46</v>
      </c>
      <c r="O305" s="145">
        <v>0</v>
      </c>
      <c r="P305" s="145">
        <f>O305*H305</f>
        <v>0</v>
      </c>
      <c r="Q305" s="145">
        <v>0</v>
      </c>
      <c r="R305" s="145">
        <f>Q305*H305</f>
        <v>0</v>
      </c>
      <c r="S305" s="145">
        <v>0</v>
      </c>
      <c r="T305" s="146">
        <f>S305*H305</f>
        <v>0</v>
      </c>
      <c r="U305" s="31"/>
      <c r="V305" s="274"/>
      <c r="W305" s="275"/>
      <c r="X305" s="31"/>
      <c r="Y305" s="31"/>
      <c r="Z305" s="31"/>
      <c r="AA305" s="31"/>
      <c r="AB305" s="31"/>
      <c r="AC305" s="31"/>
      <c r="AD305" s="31"/>
      <c r="AE305" s="31"/>
      <c r="AR305" s="147" t="s">
        <v>218</v>
      </c>
      <c r="AT305" s="147" t="s">
        <v>147</v>
      </c>
      <c r="AU305" s="147" t="s">
        <v>85</v>
      </c>
      <c r="AY305" s="19" t="s">
        <v>144</v>
      </c>
      <c r="BE305" s="148">
        <f>IF(N305="základní",J305,0)</f>
        <v>0</v>
      </c>
      <c r="BF305" s="148">
        <f>IF(N305="snížená",J305,0)</f>
        <v>0</v>
      </c>
      <c r="BG305" s="148">
        <f>IF(N305="zákl. přenesená",J305,0)</f>
        <v>0</v>
      </c>
      <c r="BH305" s="148">
        <f>IF(N305="sníž. přenesená",J305,0)</f>
        <v>0</v>
      </c>
      <c r="BI305" s="148">
        <f>IF(N305="nulová",J305,0)</f>
        <v>0</v>
      </c>
      <c r="BJ305" s="19" t="s">
        <v>83</v>
      </c>
      <c r="BK305" s="148">
        <f>ROUND(I305*H305,2)</f>
        <v>0</v>
      </c>
      <c r="BL305" s="19" t="s">
        <v>218</v>
      </c>
      <c r="BM305" s="147" t="s">
        <v>1098</v>
      </c>
    </row>
    <row r="306" spans="2:51" s="13" customFormat="1" ht="12">
      <c r="B306" s="149"/>
      <c r="D306" s="150" t="s">
        <v>154</v>
      </c>
      <c r="E306" s="151" t="s">
        <v>3</v>
      </c>
      <c r="F306" s="152" t="s">
        <v>893</v>
      </c>
      <c r="H306" s="151" t="s">
        <v>3</v>
      </c>
      <c r="I306" s="282"/>
      <c r="L306" s="149"/>
      <c r="M306" s="153"/>
      <c r="N306" s="154"/>
      <c r="O306" s="154"/>
      <c r="P306" s="154"/>
      <c r="Q306" s="154"/>
      <c r="R306" s="154"/>
      <c r="S306" s="154"/>
      <c r="T306" s="155"/>
      <c r="AT306" s="151" t="s">
        <v>154</v>
      </c>
      <c r="AU306" s="151" t="s">
        <v>85</v>
      </c>
      <c r="AV306" s="13" t="s">
        <v>83</v>
      </c>
      <c r="AW306" s="13" t="s">
        <v>37</v>
      </c>
      <c r="AX306" s="13" t="s">
        <v>75</v>
      </c>
      <c r="AY306" s="151" t="s">
        <v>144</v>
      </c>
    </row>
    <row r="307" spans="2:51" s="13" customFormat="1" ht="12">
      <c r="B307" s="149"/>
      <c r="D307" s="150" t="s">
        <v>154</v>
      </c>
      <c r="E307" s="151" t="s">
        <v>3</v>
      </c>
      <c r="F307" s="152" t="s">
        <v>166</v>
      </c>
      <c r="H307" s="151" t="s">
        <v>3</v>
      </c>
      <c r="I307" s="282"/>
      <c r="L307" s="149"/>
      <c r="M307" s="153"/>
      <c r="N307" s="154"/>
      <c r="O307" s="154"/>
      <c r="P307" s="154"/>
      <c r="Q307" s="154"/>
      <c r="R307" s="154"/>
      <c r="S307" s="154"/>
      <c r="T307" s="155"/>
      <c r="AT307" s="151" t="s">
        <v>154</v>
      </c>
      <c r="AU307" s="151" t="s">
        <v>85</v>
      </c>
      <c r="AV307" s="13" t="s">
        <v>83</v>
      </c>
      <c r="AW307" s="13" t="s">
        <v>37</v>
      </c>
      <c r="AX307" s="13" t="s">
        <v>75</v>
      </c>
      <c r="AY307" s="151" t="s">
        <v>144</v>
      </c>
    </row>
    <row r="308" spans="2:51" s="14" customFormat="1" ht="12">
      <c r="B308" s="156"/>
      <c r="D308" s="150" t="s">
        <v>154</v>
      </c>
      <c r="E308" s="157" t="s">
        <v>3</v>
      </c>
      <c r="F308" s="158">
        <v>2</v>
      </c>
      <c r="H308" s="159">
        <v>2</v>
      </c>
      <c r="I308" s="280"/>
      <c r="L308" s="156"/>
      <c r="M308" s="160"/>
      <c r="N308" s="161"/>
      <c r="O308" s="161"/>
      <c r="P308" s="161"/>
      <c r="Q308" s="161"/>
      <c r="R308" s="161"/>
      <c r="S308" s="161"/>
      <c r="T308" s="162"/>
      <c r="AT308" s="157" t="s">
        <v>154</v>
      </c>
      <c r="AU308" s="157" t="s">
        <v>85</v>
      </c>
      <c r="AV308" s="14" t="s">
        <v>85</v>
      </c>
      <c r="AW308" s="14" t="s">
        <v>37</v>
      </c>
      <c r="AX308" s="14" t="s">
        <v>75</v>
      </c>
      <c r="AY308" s="157" t="s">
        <v>144</v>
      </c>
    </row>
    <row r="309" spans="1:65" s="2" customFormat="1" ht="49.15" customHeight="1">
      <c r="A309" s="31"/>
      <c r="B309" s="136"/>
      <c r="C309" s="137">
        <v>68</v>
      </c>
      <c r="D309" s="137" t="s">
        <v>147</v>
      </c>
      <c r="E309" s="138" t="s">
        <v>1099</v>
      </c>
      <c r="F309" s="139" t="s">
        <v>1833</v>
      </c>
      <c r="G309" s="140" t="s">
        <v>960</v>
      </c>
      <c r="H309" s="141">
        <v>1</v>
      </c>
      <c r="I309" s="278"/>
      <c r="J309" s="142">
        <f>ROUND(I309*H309,2)</f>
        <v>0</v>
      </c>
      <c r="K309" s="139" t="s">
        <v>151</v>
      </c>
      <c r="L309" s="32"/>
      <c r="M309" s="143" t="s">
        <v>3</v>
      </c>
      <c r="N309" s="144" t="s">
        <v>46</v>
      </c>
      <c r="O309" s="145">
        <v>0</v>
      </c>
      <c r="P309" s="145">
        <f>O309*H309</f>
        <v>0</v>
      </c>
      <c r="Q309" s="145">
        <v>0</v>
      </c>
      <c r="R309" s="145">
        <f>Q309*H309</f>
        <v>0</v>
      </c>
      <c r="S309" s="145">
        <v>0</v>
      </c>
      <c r="T309" s="146">
        <f>S309*H309</f>
        <v>0</v>
      </c>
      <c r="U309" s="31"/>
      <c r="V309" s="274"/>
      <c r="W309" s="275"/>
      <c r="X309" s="31"/>
      <c r="Y309" s="31"/>
      <c r="Z309" s="31"/>
      <c r="AA309" s="31"/>
      <c r="AB309" s="31"/>
      <c r="AC309" s="31"/>
      <c r="AD309" s="31"/>
      <c r="AE309" s="31"/>
      <c r="AR309" s="147" t="s">
        <v>218</v>
      </c>
      <c r="AT309" s="147" t="s">
        <v>147</v>
      </c>
      <c r="AU309" s="147" t="s">
        <v>85</v>
      </c>
      <c r="AY309" s="19" t="s">
        <v>144</v>
      </c>
      <c r="BE309" s="148">
        <f>IF(N309="základní",J309,0)</f>
        <v>0</v>
      </c>
      <c r="BF309" s="148">
        <f>IF(N309="snížená",J309,0)</f>
        <v>0</v>
      </c>
      <c r="BG309" s="148">
        <f>IF(N309="zákl. přenesená",J309,0)</f>
        <v>0</v>
      </c>
      <c r="BH309" s="148">
        <f>IF(N309="sníž. přenesená",J309,0)</f>
        <v>0</v>
      </c>
      <c r="BI309" s="148">
        <f>IF(N309="nulová",J309,0)</f>
        <v>0</v>
      </c>
      <c r="BJ309" s="19" t="s">
        <v>83</v>
      </c>
      <c r="BK309" s="148">
        <f>ROUND(I309*H309,2)</f>
        <v>0</v>
      </c>
      <c r="BL309" s="19" t="s">
        <v>218</v>
      </c>
      <c r="BM309" s="147" t="s">
        <v>1100</v>
      </c>
    </row>
    <row r="310" spans="2:51" s="13" customFormat="1" ht="12">
      <c r="B310" s="149"/>
      <c r="D310" s="150" t="s">
        <v>154</v>
      </c>
      <c r="E310" s="151" t="s">
        <v>3</v>
      </c>
      <c r="F310" s="152" t="s">
        <v>166</v>
      </c>
      <c r="H310" s="151" t="s">
        <v>3</v>
      </c>
      <c r="I310" s="282"/>
      <c r="L310" s="149"/>
      <c r="M310" s="153"/>
      <c r="N310" s="154"/>
      <c r="O310" s="154"/>
      <c r="P310" s="154"/>
      <c r="Q310" s="154"/>
      <c r="R310" s="154"/>
      <c r="S310" s="154"/>
      <c r="T310" s="155"/>
      <c r="AT310" s="151" t="s">
        <v>154</v>
      </c>
      <c r="AU310" s="151" t="s">
        <v>85</v>
      </c>
      <c r="AV310" s="13" t="s">
        <v>83</v>
      </c>
      <c r="AW310" s="13" t="s">
        <v>37</v>
      </c>
      <c r="AX310" s="13" t="s">
        <v>75</v>
      </c>
      <c r="AY310" s="151" t="s">
        <v>144</v>
      </c>
    </row>
    <row r="311" spans="2:51" s="14" customFormat="1" ht="12">
      <c r="B311" s="156"/>
      <c r="D311" s="150" t="s">
        <v>154</v>
      </c>
      <c r="E311" s="157" t="s">
        <v>3</v>
      </c>
      <c r="F311" s="158">
        <v>1</v>
      </c>
      <c r="H311" s="159">
        <v>1</v>
      </c>
      <c r="I311" s="280"/>
      <c r="L311" s="156"/>
      <c r="M311" s="160"/>
      <c r="N311" s="161"/>
      <c r="O311" s="161"/>
      <c r="P311" s="161"/>
      <c r="Q311" s="161"/>
      <c r="R311" s="161"/>
      <c r="S311" s="161"/>
      <c r="T311" s="162"/>
      <c r="AT311" s="157" t="s">
        <v>154</v>
      </c>
      <c r="AU311" s="157" t="s">
        <v>85</v>
      </c>
      <c r="AV311" s="14" t="s">
        <v>85</v>
      </c>
      <c r="AW311" s="14" t="s">
        <v>37</v>
      </c>
      <c r="AX311" s="14" t="s">
        <v>83</v>
      </c>
      <c r="AY311" s="157" t="s">
        <v>144</v>
      </c>
    </row>
    <row r="312" spans="1:65" s="2" customFormat="1" ht="49.15" customHeight="1">
      <c r="A312" s="31"/>
      <c r="B312" s="136"/>
      <c r="C312" s="137">
        <v>69</v>
      </c>
      <c r="D312" s="137" t="s">
        <v>147</v>
      </c>
      <c r="E312" s="138" t="s">
        <v>1101</v>
      </c>
      <c r="F312" s="139" t="s">
        <v>1102</v>
      </c>
      <c r="G312" s="140" t="s">
        <v>960</v>
      </c>
      <c r="H312" s="141">
        <v>2</v>
      </c>
      <c r="I312" s="278"/>
      <c r="J312" s="142">
        <f>ROUND(I312*H312,2)</f>
        <v>0</v>
      </c>
      <c r="K312" s="139" t="s">
        <v>151</v>
      </c>
      <c r="L312" s="32"/>
      <c r="M312" s="143" t="s">
        <v>3</v>
      </c>
      <c r="N312" s="144" t="s">
        <v>46</v>
      </c>
      <c r="O312" s="145">
        <v>0</v>
      </c>
      <c r="P312" s="145">
        <f>O312*H312</f>
        <v>0</v>
      </c>
      <c r="Q312" s="145">
        <v>0</v>
      </c>
      <c r="R312" s="145">
        <f>Q312*H312</f>
        <v>0</v>
      </c>
      <c r="S312" s="145">
        <v>0</v>
      </c>
      <c r="T312" s="146">
        <f>S312*H312</f>
        <v>0</v>
      </c>
      <c r="U312" s="31"/>
      <c r="V312" s="274"/>
      <c r="W312" s="275"/>
      <c r="X312" s="31"/>
      <c r="Y312" s="31"/>
      <c r="Z312" s="31"/>
      <c r="AA312" s="31"/>
      <c r="AB312" s="31"/>
      <c r="AC312" s="31"/>
      <c r="AD312" s="31"/>
      <c r="AE312" s="31"/>
      <c r="AR312" s="147" t="s">
        <v>218</v>
      </c>
      <c r="AT312" s="147" t="s">
        <v>147</v>
      </c>
      <c r="AU312" s="147" t="s">
        <v>85</v>
      </c>
      <c r="AY312" s="19" t="s">
        <v>144</v>
      </c>
      <c r="BE312" s="148">
        <f>IF(N312="základní",J312,0)</f>
        <v>0</v>
      </c>
      <c r="BF312" s="148">
        <f>IF(N312="snížená",J312,0)</f>
        <v>0</v>
      </c>
      <c r="BG312" s="148">
        <f>IF(N312="zákl. přenesená",J312,0)</f>
        <v>0</v>
      </c>
      <c r="BH312" s="148">
        <f>IF(N312="sníž. přenesená",J312,0)</f>
        <v>0</v>
      </c>
      <c r="BI312" s="148">
        <f>IF(N312="nulová",J312,0)</f>
        <v>0</v>
      </c>
      <c r="BJ312" s="19" t="s">
        <v>83</v>
      </c>
      <c r="BK312" s="148">
        <f>ROUND(I312*H312,2)</f>
        <v>0</v>
      </c>
      <c r="BL312" s="19" t="s">
        <v>218</v>
      </c>
      <c r="BM312" s="147" t="s">
        <v>1103</v>
      </c>
    </row>
    <row r="313" spans="2:51" s="13" customFormat="1" ht="12">
      <c r="B313" s="149"/>
      <c r="D313" s="150" t="s">
        <v>154</v>
      </c>
      <c r="E313" s="151" t="s">
        <v>3</v>
      </c>
      <c r="F313" s="152" t="s">
        <v>893</v>
      </c>
      <c r="H313" s="151" t="s">
        <v>3</v>
      </c>
      <c r="I313" s="282"/>
      <c r="L313" s="149"/>
      <c r="M313" s="153"/>
      <c r="N313" s="154"/>
      <c r="O313" s="154"/>
      <c r="P313" s="154"/>
      <c r="Q313" s="154"/>
      <c r="R313" s="154"/>
      <c r="S313" s="154"/>
      <c r="T313" s="155"/>
      <c r="AT313" s="151" t="s">
        <v>154</v>
      </c>
      <c r="AU313" s="151" t="s">
        <v>85</v>
      </c>
      <c r="AV313" s="13" t="s">
        <v>83</v>
      </c>
      <c r="AW313" s="13" t="s">
        <v>37</v>
      </c>
      <c r="AX313" s="13" t="s">
        <v>75</v>
      </c>
      <c r="AY313" s="151" t="s">
        <v>144</v>
      </c>
    </row>
    <row r="314" spans="2:51" s="13" customFormat="1" ht="12">
      <c r="B314" s="149"/>
      <c r="D314" s="150" t="s">
        <v>154</v>
      </c>
      <c r="E314" s="151" t="s">
        <v>3</v>
      </c>
      <c r="F314" s="152" t="s">
        <v>167</v>
      </c>
      <c r="H314" s="151" t="s">
        <v>3</v>
      </c>
      <c r="I314" s="282"/>
      <c r="L314" s="149"/>
      <c r="M314" s="153"/>
      <c r="N314" s="154"/>
      <c r="O314" s="154"/>
      <c r="P314" s="154"/>
      <c r="Q314" s="154"/>
      <c r="R314" s="154"/>
      <c r="S314" s="154"/>
      <c r="T314" s="155"/>
      <c r="AT314" s="151" t="s">
        <v>154</v>
      </c>
      <c r="AU314" s="151" t="s">
        <v>85</v>
      </c>
      <c r="AV314" s="13" t="s">
        <v>83</v>
      </c>
      <c r="AW314" s="13" t="s">
        <v>37</v>
      </c>
      <c r="AX314" s="13" t="s">
        <v>75</v>
      </c>
      <c r="AY314" s="151" t="s">
        <v>144</v>
      </c>
    </row>
    <row r="315" spans="2:51" s="14" customFormat="1" ht="12">
      <c r="B315" s="156"/>
      <c r="D315" s="150" t="s">
        <v>154</v>
      </c>
      <c r="E315" s="157" t="s">
        <v>3</v>
      </c>
      <c r="F315" s="158">
        <v>2</v>
      </c>
      <c r="H315" s="159">
        <v>2</v>
      </c>
      <c r="I315" s="280"/>
      <c r="L315" s="156"/>
      <c r="M315" s="160"/>
      <c r="N315" s="161"/>
      <c r="O315" s="161"/>
      <c r="P315" s="161"/>
      <c r="Q315" s="161"/>
      <c r="R315" s="161"/>
      <c r="S315" s="161"/>
      <c r="T315" s="162"/>
      <c r="AT315" s="157" t="s">
        <v>154</v>
      </c>
      <c r="AU315" s="157" t="s">
        <v>85</v>
      </c>
      <c r="AV315" s="14" t="s">
        <v>85</v>
      </c>
      <c r="AW315" s="14" t="s">
        <v>37</v>
      </c>
      <c r="AX315" s="14" t="s">
        <v>75</v>
      </c>
      <c r="AY315" s="157" t="s">
        <v>144</v>
      </c>
    </row>
    <row r="316" spans="1:65" s="2" customFormat="1" ht="49.15" customHeight="1">
      <c r="A316" s="31"/>
      <c r="B316" s="136"/>
      <c r="C316" s="137">
        <v>70</v>
      </c>
      <c r="D316" s="137" t="s">
        <v>147</v>
      </c>
      <c r="E316" s="138" t="s">
        <v>1104</v>
      </c>
      <c r="F316" s="139" t="s">
        <v>1105</v>
      </c>
      <c r="G316" s="140" t="s">
        <v>960</v>
      </c>
      <c r="H316" s="141">
        <v>2</v>
      </c>
      <c r="I316" s="278"/>
      <c r="J316" s="142">
        <f>ROUND(I316*H316,2)</f>
        <v>0</v>
      </c>
      <c r="K316" s="139" t="s">
        <v>151</v>
      </c>
      <c r="L316" s="32"/>
      <c r="M316" s="143" t="s">
        <v>3</v>
      </c>
      <c r="N316" s="144" t="s">
        <v>46</v>
      </c>
      <c r="O316" s="145">
        <v>0</v>
      </c>
      <c r="P316" s="145">
        <f>O316*H316</f>
        <v>0</v>
      </c>
      <c r="Q316" s="145">
        <v>0</v>
      </c>
      <c r="R316" s="145">
        <f>Q316*H316</f>
        <v>0</v>
      </c>
      <c r="S316" s="145">
        <v>0</v>
      </c>
      <c r="T316" s="146">
        <f>S316*H316</f>
        <v>0</v>
      </c>
      <c r="U316" s="31"/>
      <c r="V316" s="274"/>
      <c r="W316" s="31"/>
      <c r="X316" s="31"/>
      <c r="Y316" s="31"/>
      <c r="Z316" s="31"/>
      <c r="AA316" s="31"/>
      <c r="AB316" s="31"/>
      <c r="AC316" s="31"/>
      <c r="AD316" s="31"/>
      <c r="AE316" s="31"/>
      <c r="AR316" s="147" t="s">
        <v>218</v>
      </c>
      <c r="AT316" s="147" t="s">
        <v>147</v>
      </c>
      <c r="AU316" s="147" t="s">
        <v>85</v>
      </c>
      <c r="AY316" s="19" t="s">
        <v>144</v>
      </c>
      <c r="BE316" s="148">
        <f>IF(N316="základní",J316,0)</f>
        <v>0</v>
      </c>
      <c r="BF316" s="148">
        <f>IF(N316="snížená",J316,0)</f>
        <v>0</v>
      </c>
      <c r="BG316" s="148">
        <f>IF(N316="zákl. přenesená",J316,0)</f>
        <v>0</v>
      </c>
      <c r="BH316" s="148">
        <f>IF(N316="sníž. přenesená",J316,0)</f>
        <v>0</v>
      </c>
      <c r="BI316" s="148">
        <f>IF(N316="nulová",J316,0)</f>
        <v>0</v>
      </c>
      <c r="BJ316" s="19" t="s">
        <v>83</v>
      </c>
      <c r="BK316" s="148">
        <f>ROUND(I316*H316,2)</f>
        <v>0</v>
      </c>
      <c r="BL316" s="19" t="s">
        <v>218</v>
      </c>
      <c r="BM316" s="147" t="s">
        <v>1106</v>
      </c>
    </row>
    <row r="317" spans="2:51" s="13" customFormat="1" ht="12">
      <c r="B317" s="149"/>
      <c r="D317" s="150" t="s">
        <v>154</v>
      </c>
      <c r="E317" s="151" t="s">
        <v>3</v>
      </c>
      <c r="F317" s="152" t="s">
        <v>893</v>
      </c>
      <c r="H317" s="151" t="s">
        <v>3</v>
      </c>
      <c r="I317" s="282"/>
      <c r="L317" s="149"/>
      <c r="M317" s="153"/>
      <c r="N317" s="154"/>
      <c r="O317" s="154"/>
      <c r="P317" s="154"/>
      <c r="Q317" s="154"/>
      <c r="R317" s="154"/>
      <c r="S317" s="154"/>
      <c r="T317" s="155"/>
      <c r="AT317" s="151" t="s">
        <v>154</v>
      </c>
      <c r="AU317" s="151" t="s">
        <v>85</v>
      </c>
      <c r="AV317" s="13" t="s">
        <v>83</v>
      </c>
      <c r="AW317" s="13" t="s">
        <v>37</v>
      </c>
      <c r="AX317" s="13" t="s">
        <v>75</v>
      </c>
      <c r="AY317" s="151" t="s">
        <v>144</v>
      </c>
    </row>
    <row r="318" spans="2:51" s="13" customFormat="1" ht="12">
      <c r="B318" s="149"/>
      <c r="D318" s="150" t="s">
        <v>154</v>
      </c>
      <c r="E318" s="151" t="s">
        <v>3</v>
      </c>
      <c r="F318" s="152" t="s">
        <v>167</v>
      </c>
      <c r="H318" s="151" t="s">
        <v>3</v>
      </c>
      <c r="I318" s="282"/>
      <c r="L318" s="149"/>
      <c r="M318" s="153"/>
      <c r="N318" s="154"/>
      <c r="O318" s="154"/>
      <c r="P318" s="154"/>
      <c r="Q318" s="154"/>
      <c r="R318" s="154"/>
      <c r="S318" s="154"/>
      <c r="T318" s="155"/>
      <c r="AT318" s="151" t="s">
        <v>154</v>
      </c>
      <c r="AU318" s="151" t="s">
        <v>85</v>
      </c>
      <c r="AV318" s="13" t="s">
        <v>83</v>
      </c>
      <c r="AW318" s="13" t="s">
        <v>37</v>
      </c>
      <c r="AX318" s="13" t="s">
        <v>75</v>
      </c>
      <c r="AY318" s="151" t="s">
        <v>144</v>
      </c>
    </row>
    <row r="319" spans="2:51" s="14" customFormat="1" ht="12">
      <c r="B319" s="156"/>
      <c r="D319" s="150" t="s">
        <v>154</v>
      </c>
      <c r="E319" s="157" t="s">
        <v>3</v>
      </c>
      <c r="F319" s="158">
        <v>2</v>
      </c>
      <c r="H319" s="159">
        <v>2</v>
      </c>
      <c r="I319" s="280"/>
      <c r="L319" s="156"/>
      <c r="M319" s="160"/>
      <c r="N319" s="161"/>
      <c r="O319" s="161"/>
      <c r="P319" s="161"/>
      <c r="Q319" s="161"/>
      <c r="R319" s="161"/>
      <c r="S319" s="161"/>
      <c r="T319" s="162"/>
      <c r="AT319" s="157" t="s">
        <v>154</v>
      </c>
      <c r="AU319" s="157" t="s">
        <v>85</v>
      </c>
      <c r="AV319" s="14" t="s">
        <v>85</v>
      </c>
      <c r="AW319" s="14" t="s">
        <v>37</v>
      </c>
      <c r="AX319" s="14" t="s">
        <v>75</v>
      </c>
      <c r="AY319" s="157" t="s">
        <v>144</v>
      </c>
    </row>
    <row r="320" spans="1:65" s="2" customFormat="1" ht="24.2" customHeight="1">
      <c r="A320" s="31"/>
      <c r="B320" s="136"/>
      <c r="C320" s="137">
        <v>71</v>
      </c>
      <c r="D320" s="137" t="s">
        <v>147</v>
      </c>
      <c r="E320" s="138" t="s">
        <v>1107</v>
      </c>
      <c r="F320" s="139" t="s">
        <v>1108</v>
      </c>
      <c r="G320" s="140" t="s">
        <v>156</v>
      </c>
      <c r="H320" s="141">
        <f>H325</f>
        <v>5</v>
      </c>
      <c r="I320" s="278"/>
      <c r="J320" s="142">
        <f>ROUND(I320*H320,2)</f>
        <v>0</v>
      </c>
      <c r="K320" s="139" t="s">
        <v>157</v>
      </c>
      <c r="L320" s="32"/>
      <c r="M320" s="143" t="s">
        <v>3</v>
      </c>
      <c r="N320" s="144" t="s">
        <v>46</v>
      </c>
      <c r="O320" s="145">
        <v>0.655</v>
      </c>
      <c r="P320" s="145">
        <f>O320*H320</f>
        <v>3.2750000000000004</v>
      </c>
      <c r="Q320" s="145">
        <v>0.00013</v>
      </c>
      <c r="R320" s="145">
        <f>Q320*H320</f>
        <v>0.00065</v>
      </c>
      <c r="S320" s="145">
        <v>0</v>
      </c>
      <c r="T320" s="146">
        <f>S320*H320</f>
        <v>0</v>
      </c>
      <c r="U320" s="31"/>
      <c r="V320" s="31"/>
      <c r="W320" s="31"/>
      <c r="X320" s="31"/>
      <c r="Y320" s="31"/>
      <c r="Z320" s="31"/>
      <c r="AA320" s="31"/>
      <c r="AB320" s="31"/>
      <c r="AC320" s="31"/>
      <c r="AD320" s="31"/>
      <c r="AE320" s="31"/>
      <c r="AR320" s="147" t="s">
        <v>218</v>
      </c>
      <c r="AT320" s="147" t="s">
        <v>147</v>
      </c>
      <c r="AU320" s="147" t="s">
        <v>85</v>
      </c>
      <c r="AY320" s="19" t="s">
        <v>144</v>
      </c>
      <c r="BE320" s="148">
        <f>IF(N320="základní",J320,0)</f>
        <v>0</v>
      </c>
      <c r="BF320" s="148">
        <f>IF(N320="snížená",J320,0)</f>
        <v>0</v>
      </c>
      <c r="BG320" s="148">
        <f>IF(N320="zákl. přenesená",J320,0)</f>
        <v>0</v>
      </c>
      <c r="BH320" s="148">
        <f>IF(N320="sníž. přenesená",J320,0)</f>
        <v>0</v>
      </c>
      <c r="BI320" s="148">
        <f>IF(N320="nulová",J320,0)</f>
        <v>0</v>
      </c>
      <c r="BJ320" s="19" t="s">
        <v>83</v>
      </c>
      <c r="BK320" s="148">
        <f>ROUND(I320*H320,2)</f>
        <v>0</v>
      </c>
      <c r="BL320" s="19" t="s">
        <v>218</v>
      </c>
      <c r="BM320" s="147" t="s">
        <v>1109</v>
      </c>
    </row>
    <row r="321" spans="1:47" s="2" customFormat="1" ht="29.25">
      <c r="A321" s="31"/>
      <c r="B321" s="32"/>
      <c r="C321" s="31"/>
      <c r="D321" s="150" t="s">
        <v>158</v>
      </c>
      <c r="E321" s="31"/>
      <c r="F321" s="163" t="s">
        <v>1110</v>
      </c>
      <c r="G321" s="31"/>
      <c r="H321" s="31"/>
      <c r="I321" s="279"/>
      <c r="J321" s="31"/>
      <c r="K321" s="31"/>
      <c r="L321" s="32"/>
      <c r="M321" s="164"/>
      <c r="N321" s="165"/>
      <c r="O321" s="52"/>
      <c r="P321" s="52"/>
      <c r="Q321" s="52"/>
      <c r="R321" s="52"/>
      <c r="S321" s="52"/>
      <c r="T321" s="53"/>
      <c r="U321" s="31"/>
      <c r="V321" s="31"/>
      <c r="W321" s="31"/>
      <c r="X321" s="31"/>
      <c r="Y321" s="31"/>
      <c r="Z321" s="31"/>
      <c r="AA321" s="31"/>
      <c r="AB321" s="31"/>
      <c r="AC321" s="31"/>
      <c r="AD321" s="31"/>
      <c r="AE321" s="31"/>
      <c r="AT321" s="19" t="s">
        <v>158</v>
      </c>
      <c r="AU321" s="19" t="s">
        <v>85</v>
      </c>
    </row>
    <row r="322" spans="1:47" s="2" customFormat="1" ht="29.25">
      <c r="A322" s="31"/>
      <c r="B322" s="32"/>
      <c r="C322" s="31"/>
      <c r="D322" s="150" t="s">
        <v>270</v>
      </c>
      <c r="E322" s="31"/>
      <c r="F322" s="163" t="s">
        <v>1111</v>
      </c>
      <c r="G322" s="31"/>
      <c r="H322" s="31"/>
      <c r="I322" s="279"/>
      <c r="J322" s="31"/>
      <c r="K322" s="31"/>
      <c r="L322" s="32"/>
      <c r="M322" s="164"/>
      <c r="N322" s="165"/>
      <c r="O322" s="52"/>
      <c r="P322" s="52"/>
      <c r="Q322" s="52"/>
      <c r="R322" s="52"/>
      <c r="S322" s="52"/>
      <c r="T322" s="53"/>
      <c r="U322" s="31"/>
      <c r="V322" s="31"/>
      <c r="W322" s="31"/>
      <c r="X322" s="31"/>
      <c r="Y322" s="31"/>
      <c r="Z322" s="31"/>
      <c r="AA322" s="31"/>
      <c r="AB322" s="31"/>
      <c r="AC322" s="31"/>
      <c r="AD322" s="31"/>
      <c r="AE322" s="31"/>
      <c r="AT322" s="19" t="s">
        <v>270</v>
      </c>
      <c r="AU322" s="19" t="s">
        <v>85</v>
      </c>
    </row>
    <row r="323" spans="2:51" s="13" customFormat="1" ht="12">
      <c r="B323" s="149"/>
      <c r="D323" s="150" t="s">
        <v>154</v>
      </c>
      <c r="E323" s="151" t="s">
        <v>3</v>
      </c>
      <c r="F323" s="152" t="s">
        <v>893</v>
      </c>
      <c r="H323" s="151" t="s">
        <v>3</v>
      </c>
      <c r="I323" s="282"/>
      <c r="L323" s="149"/>
      <c r="M323" s="153"/>
      <c r="N323" s="154"/>
      <c r="O323" s="154"/>
      <c r="P323" s="154"/>
      <c r="Q323" s="154"/>
      <c r="R323" s="154"/>
      <c r="S323" s="154"/>
      <c r="T323" s="155"/>
      <c r="AT323" s="151" t="s">
        <v>154</v>
      </c>
      <c r="AU323" s="151" t="s">
        <v>85</v>
      </c>
      <c r="AV323" s="13" t="s">
        <v>83</v>
      </c>
      <c r="AW323" s="13" t="s">
        <v>37</v>
      </c>
      <c r="AX323" s="13" t="s">
        <v>75</v>
      </c>
      <c r="AY323" s="151" t="s">
        <v>144</v>
      </c>
    </row>
    <row r="324" spans="2:51" s="13" customFormat="1" ht="12">
      <c r="B324" s="149"/>
      <c r="D324" s="150" t="s">
        <v>154</v>
      </c>
      <c r="E324" s="151" t="s">
        <v>3</v>
      </c>
      <c r="F324" s="152" t="s">
        <v>1835</v>
      </c>
      <c r="H324" s="151" t="s">
        <v>3</v>
      </c>
      <c r="I324" s="282"/>
      <c r="L324" s="149"/>
      <c r="M324" s="153"/>
      <c r="N324" s="154"/>
      <c r="O324" s="154"/>
      <c r="P324" s="154"/>
      <c r="Q324" s="154"/>
      <c r="R324" s="154"/>
      <c r="S324" s="154"/>
      <c r="T324" s="155"/>
      <c r="AT324" s="151" t="s">
        <v>154</v>
      </c>
      <c r="AU324" s="151" t="s">
        <v>85</v>
      </c>
      <c r="AV324" s="13" t="s">
        <v>83</v>
      </c>
      <c r="AW324" s="13" t="s">
        <v>37</v>
      </c>
      <c r="AX324" s="13" t="s">
        <v>75</v>
      </c>
      <c r="AY324" s="151" t="s">
        <v>144</v>
      </c>
    </row>
    <row r="325" spans="2:51" s="14" customFormat="1" ht="12">
      <c r="B325" s="156"/>
      <c r="D325" s="150" t="s">
        <v>154</v>
      </c>
      <c r="E325" s="157" t="s">
        <v>3</v>
      </c>
      <c r="F325" s="158" t="s">
        <v>1834</v>
      </c>
      <c r="H325" s="159">
        <v>5</v>
      </c>
      <c r="I325" s="280"/>
      <c r="L325" s="156"/>
      <c r="M325" s="160"/>
      <c r="N325" s="161"/>
      <c r="O325" s="161"/>
      <c r="P325" s="161"/>
      <c r="Q325" s="161"/>
      <c r="R325" s="161"/>
      <c r="S325" s="161"/>
      <c r="T325" s="162"/>
      <c r="AT325" s="157" t="s">
        <v>154</v>
      </c>
      <c r="AU325" s="157" t="s">
        <v>85</v>
      </c>
      <c r="AV325" s="14" t="s">
        <v>85</v>
      </c>
      <c r="AW325" s="14" t="s">
        <v>37</v>
      </c>
      <c r="AX325" s="14" t="s">
        <v>75</v>
      </c>
      <c r="AY325" s="157" t="s">
        <v>144</v>
      </c>
    </row>
    <row r="326" spans="1:65" s="2" customFormat="1" ht="24.2" customHeight="1">
      <c r="A326" s="31"/>
      <c r="B326" s="136"/>
      <c r="C326" s="173">
        <v>72</v>
      </c>
      <c r="D326" s="173" t="s">
        <v>174</v>
      </c>
      <c r="E326" s="174" t="s">
        <v>1112</v>
      </c>
      <c r="F326" s="175" t="s">
        <v>1113</v>
      </c>
      <c r="G326" s="176" t="s">
        <v>156</v>
      </c>
      <c r="H326" s="177">
        <v>5</v>
      </c>
      <c r="I326" s="281"/>
      <c r="J326" s="178">
        <f>ROUND(I326*H326,2)</f>
        <v>0</v>
      </c>
      <c r="K326" s="175" t="s">
        <v>151</v>
      </c>
      <c r="L326" s="179"/>
      <c r="M326" s="180" t="s">
        <v>3</v>
      </c>
      <c r="N326" s="181" t="s">
        <v>46</v>
      </c>
      <c r="O326" s="145">
        <v>0</v>
      </c>
      <c r="P326" s="145">
        <f>O326*H326</f>
        <v>0</v>
      </c>
      <c r="Q326" s="145">
        <v>0</v>
      </c>
      <c r="R326" s="145">
        <f>Q326*H326</f>
        <v>0</v>
      </c>
      <c r="S326" s="145">
        <v>0</v>
      </c>
      <c r="T326" s="146">
        <f>S326*H326</f>
        <v>0</v>
      </c>
      <c r="U326" s="31"/>
      <c r="V326" s="274"/>
      <c r="W326" s="31"/>
      <c r="X326" s="31"/>
      <c r="Y326" s="31"/>
      <c r="Z326" s="31"/>
      <c r="AA326" s="31"/>
      <c r="AB326" s="31"/>
      <c r="AC326" s="31"/>
      <c r="AD326" s="31"/>
      <c r="AE326" s="31"/>
      <c r="AR326" s="147" t="s">
        <v>248</v>
      </c>
      <c r="AT326" s="147" t="s">
        <v>174</v>
      </c>
      <c r="AU326" s="147" t="s">
        <v>85</v>
      </c>
      <c r="AY326" s="19" t="s">
        <v>144</v>
      </c>
      <c r="BE326" s="148">
        <f>IF(N326="základní",J326,0)</f>
        <v>0</v>
      </c>
      <c r="BF326" s="148">
        <f>IF(N326="snížená",J326,0)</f>
        <v>0</v>
      </c>
      <c r="BG326" s="148">
        <f>IF(N326="zákl. přenesená",J326,0)</f>
        <v>0</v>
      </c>
      <c r="BH326" s="148">
        <f>IF(N326="sníž. přenesená",J326,0)</f>
        <v>0</v>
      </c>
      <c r="BI326" s="148">
        <f>IF(N326="nulová",J326,0)</f>
        <v>0</v>
      </c>
      <c r="BJ326" s="19" t="s">
        <v>83</v>
      </c>
      <c r="BK326" s="148">
        <f>ROUND(I326*H326,2)</f>
        <v>0</v>
      </c>
      <c r="BL326" s="19" t="s">
        <v>218</v>
      </c>
      <c r="BM326" s="147" t="s">
        <v>1114</v>
      </c>
    </row>
    <row r="327" spans="1:65" s="2" customFormat="1" ht="24.2" customHeight="1">
      <c r="A327" s="31"/>
      <c r="B327" s="136"/>
      <c r="C327" s="173">
        <v>73</v>
      </c>
      <c r="D327" s="173" t="s">
        <v>174</v>
      </c>
      <c r="E327" s="174" t="s">
        <v>1115</v>
      </c>
      <c r="F327" s="175" t="s">
        <v>1116</v>
      </c>
      <c r="G327" s="176" t="s">
        <v>156</v>
      </c>
      <c r="H327" s="177">
        <v>5</v>
      </c>
      <c r="I327" s="281"/>
      <c r="J327" s="178">
        <f>ROUND(I327*H327,2)</f>
        <v>0</v>
      </c>
      <c r="K327" s="175" t="s">
        <v>151</v>
      </c>
      <c r="L327" s="179"/>
      <c r="M327" s="180" t="s">
        <v>3</v>
      </c>
      <c r="N327" s="181" t="s">
        <v>46</v>
      </c>
      <c r="O327" s="145">
        <v>0</v>
      </c>
      <c r="P327" s="145">
        <f>O327*H327</f>
        <v>0</v>
      </c>
      <c r="Q327" s="145">
        <v>0</v>
      </c>
      <c r="R327" s="145">
        <f>Q327*H327</f>
        <v>0</v>
      </c>
      <c r="S327" s="145">
        <v>0</v>
      </c>
      <c r="T327" s="146">
        <f>S327*H327</f>
        <v>0</v>
      </c>
      <c r="U327" s="31"/>
      <c r="V327" s="31"/>
      <c r="W327" s="31"/>
      <c r="X327" s="31"/>
      <c r="Y327" s="31"/>
      <c r="Z327" s="31"/>
      <c r="AA327" s="31"/>
      <c r="AB327" s="31"/>
      <c r="AC327" s="31"/>
      <c r="AD327" s="31"/>
      <c r="AE327" s="31"/>
      <c r="AR327" s="147" t="s">
        <v>248</v>
      </c>
      <c r="AT327" s="147" t="s">
        <v>174</v>
      </c>
      <c r="AU327" s="147" t="s">
        <v>85</v>
      </c>
      <c r="AY327" s="19" t="s">
        <v>144</v>
      </c>
      <c r="BE327" s="148">
        <f>IF(N327="základní",J327,0)</f>
        <v>0</v>
      </c>
      <c r="BF327" s="148">
        <f>IF(N327="snížená",J327,0)</f>
        <v>0</v>
      </c>
      <c r="BG327" s="148">
        <f>IF(N327="zákl. přenesená",J327,0)</f>
        <v>0</v>
      </c>
      <c r="BH327" s="148">
        <f>IF(N327="sníž. přenesená",J327,0)</f>
        <v>0</v>
      </c>
      <c r="BI327" s="148">
        <f>IF(N327="nulová",J327,0)</f>
        <v>0</v>
      </c>
      <c r="BJ327" s="19" t="s">
        <v>83</v>
      </c>
      <c r="BK327" s="148">
        <f>ROUND(I327*H327,2)</f>
        <v>0</v>
      </c>
      <c r="BL327" s="19" t="s">
        <v>218</v>
      </c>
      <c r="BM327" s="147" t="s">
        <v>1117</v>
      </c>
    </row>
    <row r="328" spans="1:65" s="2" customFormat="1" ht="37.9" customHeight="1">
      <c r="A328" s="31"/>
      <c r="B328" s="136"/>
      <c r="C328" s="137">
        <v>74</v>
      </c>
      <c r="D328" s="137" t="s">
        <v>147</v>
      </c>
      <c r="E328" s="138" t="s">
        <v>1118</v>
      </c>
      <c r="F328" s="139" t="s">
        <v>1119</v>
      </c>
      <c r="G328" s="140" t="s">
        <v>156</v>
      </c>
      <c r="H328" s="141">
        <v>5</v>
      </c>
      <c r="I328" s="278"/>
      <c r="J328" s="142">
        <f>ROUND(I328*H328,2)</f>
        <v>0</v>
      </c>
      <c r="K328" s="139" t="s">
        <v>157</v>
      </c>
      <c r="L328" s="32"/>
      <c r="M328" s="143" t="s">
        <v>3</v>
      </c>
      <c r="N328" s="144" t="s">
        <v>46</v>
      </c>
      <c r="O328" s="145">
        <v>0.339</v>
      </c>
      <c r="P328" s="145">
        <f>O328*H328</f>
        <v>1.695</v>
      </c>
      <c r="Q328" s="145">
        <v>0.00075</v>
      </c>
      <c r="R328" s="145">
        <f>Q328*H328</f>
        <v>0.00375</v>
      </c>
      <c r="S328" s="145">
        <v>0</v>
      </c>
      <c r="T328" s="146">
        <f>S328*H328</f>
        <v>0</v>
      </c>
      <c r="U328" s="31"/>
      <c r="V328" s="31"/>
      <c r="W328" s="31"/>
      <c r="X328" s="31"/>
      <c r="Y328" s="31"/>
      <c r="Z328" s="31"/>
      <c r="AA328" s="31"/>
      <c r="AB328" s="31"/>
      <c r="AC328" s="31"/>
      <c r="AD328" s="31"/>
      <c r="AE328" s="31"/>
      <c r="AR328" s="147" t="s">
        <v>218</v>
      </c>
      <c r="AT328" s="147" t="s">
        <v>147</v>
      </c>
      <c r="AU328" s="147" t="s">
        <v>85</v>
      </c>
      <c r="AY328" s="19" t="s">
        <v>144</v>
      </c>
      <c r="BE328" s="148">
        <f>IF(N328="základní",J328,0)</f>
        <v>0</v>
      </c>
      <c r="BF328" s="148">
        <f>IF(N328="snížená",J328,0)</f>
        <v>0</v>
      </c>
      <c r="BG328" s="148">
        <f>IF(N328="zákl. přenesená",J328,0)</f>
        <v>0</v>
      </c>
      <c r="BH328" s="148">
        <f>IF(N328="sníž. přenesená",J328,0)</f>
        <v>0</v>
      </c>
      <c r="BI328" s="148">
        <f>IF(N328="nulová",J328,0)</f>
        <v>0</v>
      </c>
      <c r="BJ328" s="19" t="s">
        <v>83</v>
      </c>
      <c r="BK328" s="148">
        <f>ROUND(I328*H328,2)</f>
        <v>0</v>
      </c>
      <c r="BL328" s="19" t="s">
        <v>218</v>
      </c>
      <c r="BM328" s="147" t="s">
        <v>1120</v>
      </c>
    </row>
    <row r="329" spans="1:47" s="2" customFormat="1" ht="97.5">
      <c r="A329" s="31"/>
      <c r="B329" s="32"/>
      <c r="C329" s="31"/>
      <c r="D329" s="150" t="s">
        <v>158</v>
      </c>
      <c r="E329" s="31"/>
      <c r="F329" s="163" t="s">
        <v>1093</v>
      </c>
      <c r="G329" s="31"/>
      <c r="H329" s="31"/>
      <c r="I329" s="279"/>
      <c r="J329" s="31"/>
      <c r="K329" s="31"/>
      <c r="L329" s="32"/>
      <c r="M329" s="164"/>
      <c r="N329" s="165"/>
      <c r="O329" s="52"/>
      <c r="P329" s="52"/>
      <c r="Q329" s="52"/>
      <c r="R329" s="52"/>
      <c r="S329" s="52"/>
      <c r="T329" s="53"/>
      <c r="U329" s="31"/>
      <c r="V329" s="31"/>
      <c r="W329" s="31"/>
      <c r="X329" s="31"/>
      <c r="Y329" s="31"/>
      <c r="Z329" s="31"/>
      <c r="AA329" s="31"/>
      <c r="AB329" s="31"/>
      <c r="AC329" s="31"/>
      <c r="AD329" s="31"/>
      <c r="AE329" s="31"/>
      <c r="AT329" s="19" t="s">
        <v>158</v>
      </c>
      <c r="AU329" s="19" t="s">
        <v>85</v>
      </c>
    </row>
    <row r="330" spans="1:65" s="2" customFormat="1" ht="24.2" customHeight="1">
      <c r="A330" s="31"/>
      <c r="B330" s="136"/>
      <c r="C330" s="137">
        <v>75</v>
      </c>
      <c r="D330" s="137" t="s">
        <v>147</v>
      </c>
      <c r="E330" s="138" t="s">
        <v>1121</v>
      </c>
      <c r="F330" s="139" t="s">
        <v>1122</v>
      </c>
      <c r="G330" s="140" t="s">
        <v>156</v>
      </c>
      <c r="H330" s="141">
        <f>H328</f>
        <v>5</v>
      </c>
      <c r="I330" s="278"/>
      <c r="J330" s="142">
        <f>ROUND(I330*H330,2)</f>
        <v>0</v>
      </c>
      <c r="K330" s="139" t="s">
        <v>157</v>
      </c>
      <c r="L330" s="32"/>
      <c r="M330" s="143" t="s">
        <v>3</v>
      </c>
      <c r="N330" s="144" t="s">
        <v>46</v>
      </c>
      <c r="O330" s="145">
        <v>0.339</v>
      </c>
      <c r="P330" s="145">
        <f>O330*H330</f>
        <v>1.695</v>
      </c>
      <c r="Q330" s="145">
        <v>0.00128</v>
      </c>
      <c r="R330" s="145">
        <f>Q330*H330</f>
        <v>0.0064</v>
      </c>
      <c r="S330" s="145">
        <v>0</v>
      </c>
      <c r="T330" s="146">
        <f>S330*H330</f>
        <v>0</v>
      </c>
      <c r="U330" s="31"/>
      <c r="V330" s="31"/>
      <c r="W330" s="31"/>
      <c r="X330" s="31"/>
      <c r="Y330" s="31"/>
      <c r="Z330" s="31"/>
      <c r="AA330" s="31"/>
      <c r="AB330" s="31"/>
      <c r="AC330" s="31"/>
      <c r="AD330" s="31"/>
      <c r="AE330" s="31"/>
      <c r="AR330" s="147" t="s">
        <v>218</v>
      </c>
      <c r="AT330" s="147" t="s">
        <v>147</v>
      </c>
      <c r="AU330" s="147" t="s">
        <v>85</v>
      </c>
      <c r="AY330" s="19" t="s">
        <v>144</v>
      </c>
      <c r="BE330" s="148">
        <f>IF(N330="základní",J330,0)</f>
        <v>0</v>
      </c>
      <c r="BF330" s="148">
        <f>IF(N330="snížená",J330,0)</f>
        <v>0</v>
      </c>
      <c r="BG330" s="148">
        <f>IF(N330="zákl. přenesená",J330,0)</f>
        <v>0</v>
      </c>
      <c r="BH330" s="148">
        <f>IF(N330="sníž. přenesená",J330,0)</f>
        <v>0</v>
      </c>
      <c r="BI330" s="148">
        <f>IF(N330="nulová",J330,0)</f>
        <v>0</v>
      </c>
      <c r="BJ330" s="19" t="s">
        <v>83</v>
      </c>
      <c r="BK330" s="148">
        <f>ROUND(I330*H330,2)</f>
        <v>0</v>
      </c>
      <c r="BL330" s="19" t="s">
        <v>218</v>
      </c>
      <c r="BM330" s="147" t="s">
        <v>1123</v>
      </c>
    </row>
    <row r="331" spans="1:47" s="2" customFormat="1" ht="97.5">
      <c r="A331" s="31"/>
      <c r="B331" s="32"/>
      <c r="C331" s="31"/>
      <c r="D331" s="150" t="s">
        <v>158</v>
      </c>
      <c r="E331" s="31"/>
      <c r="F331" s="163" t="s">
        <v>1093</v>
      </c>
      <c r="G331" s="31"/>
      <c r="H331" s="31"/>
      <c r="I331" s="279"/>
      <c r="J331" s="31"/>
      <c r="K331" s="31"/>
      <c r="L331" s="32"/>
      <c r="M331" s="164"/>
      <c r="N331" s="165"/>
      <c r="O331" s="52"/>
      <c r="P331" s="52"/>
      <c r="Q331" s="52"/>
      <c r="R331" s="52"/>
      <c r="S331" s="52"/>
      <c r="T331" s="53"/>
      <c r="U331" s="31"/>
      <c r="V331" s="31"/>
      <c r="W331" s="31"/>
      <c r="X331" s="31"/>
      <c r="Y331" s="31"/>
      <c r="Z331" s="31"/>
      <c r="AA331" s="31"/>
      <c r="AB331" s="31"/>
      <c r="AC331" s="31"/>
      <c r="AD331" s="31"/>
      <c r="AE331" s="31"/>
      <c r="AT331" s="19" t="s">
        <v>158</v>
      </c>
      <c r="AU331" s="19" t="s">
        <v>85</v>
      </c>
    </row>
    <row r="332" spans="1:65" s="2" customFormat="1" ht="37.9" customHeight="1">
      <c r="A332" s="31"/>
      <c r="B332" s="136"/>
      <c r="C332" s="137">
        <v>76</v>
      </c>
      <c r="D332" s="137" t="s">
        <v>147</v>
      </c>
      <c r="E332" s="138" t="s">
        <v>1124</v>
      </c>
      <c r="F332" s="139" t="s">
        <v>1125</v>
      </c>
      <c r="G332" s="140" t="s">
        <v>387</v>
      </c>
      <c r="H332" s="141">
        <f>SUM(J255:J330)/100</f>
        <v>0</v>
      </c>
      <c r="I332" s="278"/>
      <c r="J332" s="142">
        <f>ROUND(I332*H332,2)</f>
        <v>0</v>
      </c>
      <c r="K332" s="139" t="s">
        <v>157</v>
      </c>
      <c r="L332" s="32"/>
      <c r="M332" s="143" t="s">
        <v>3</v>
      </c>
      <c r="N332" s="144" t="s">
        <v>46</v>
      </c>
      <c r="O332" s="145">
        <v>0</v>
      </c>
      <c r="P332" s="145">
        <f>O332*H332</f>
        <v>0</v>
      </c>
      <c r="Q332" s="145">
        <v>0</v>
      </c>
      <c r="R332" s="145">
        <f>Q332*H332</f>
        <v>0</v>
      </c>
      <c r="S332" s="145">
        <v>0</v>
      </c>
      <c r="T332" s="146">
        <f>S332*H332</f>
        <v>0</v>
      </c>
      <c r="U332" s="31"/>
      <c r="V332" s="31"/>
      <c r="W332" s="31"/>
      <c r="X332" s="31"/>
      <c r="Y332" s="31"/>
      <c r="Z332" s="31"/>
      <c r="AA332" s="31"/>
      <c r="AB332" s="31"/>
      <c r="AC332" s="31"/>
      <c r="AD332" s="31"/>
      <c r="AE332" s="31"/>
      <c r="AR332" s="147" t="s">
        <v>218</v>
      </c>
      <c r="AT332" s="147" t="s">
        <v>147</v>
      </c>
      <c r="AU332" s="147" t="s">
        <v>85</v>
      </c>
      <c r="AY332" s="19" t="s">
        <v>144</v>
      </c>
      <c r="BE332" s="148">
        <f>IF(N332="základní",J332,0)</f>
        <v>0</v>
      </c>
      <c r="BF332" s="148">
        <f>IF(N332="snížená",J332,0)</f>
        <v>0</v>
      </c>
      <c r="BG332" s="148">
        <f>IF(N332="zákl. přenesená",J332,0)</f>
        <v>0</v>
      </c>
      <c r="BH332" s="148">
        <f>IF(N332="sníž. přenesená",J332,0)</f>
        <v>0</v>
      </c>
      <c r="BI332" s="148">
        <f>IF(N332="nulová",J332,0)</f>
        <v>0</v>
      </c>
      <c r="BJ332" s="19" t="s">
        <v>83</v>
      </c>
      <c r="BK332" s="148">
        <f>ROUND(I332*H332,2)</f>
        <v>0</v>
      </c>
      <c r="BL332" s="19" t="s">
        <v>218</v>
      </c>
      <c r="BM332" s="147" t="s">
        <v>1126</v>
      </c>
    </row>
    <row r="333" spans="1:47" s="2" customFormat="1" ht="126.75">
      <c r="A333" s="31"/>
      <c r="B333" s="32"/>
      <c r="C333" s="31"/>
      <c r="D333" s="150" t="s">
        <v>158</v>
      </c>
      <c r="E333" s="31"/>
      <c r="F333" s="163" t="s">
        <v>661</v>
      </c>
      <c r="G333" s="31"/>
      <c r="H333" s="31"/>
      <c r="I333" s="279"/>
      <c r="J333" s="31"/>
      <c r="K333" s="31"/>
      <c r="L333" s="32"/>
      <c r="M333" s="164"/>
      <c r="N333" s="165"/>
      <c r="O333" s="52"/>
      <c r="P333" s="52"/>
      <c r="Q333" s="52"/>
      <c r="R333" s="52"/>
      <c r="S333" s="52"/>
      <c r="T333" s="53"/>
      <c r="U333" s="31"/>
      <c r="V333" s="31"/>
      <c r="W333" s="31"/>
      <c r="X333" s="31"/>
      <c r="Y333" s="31"/>
      <c r="Z333" s="31"/>
      <c r="AA333" s="31"/>
      <c r="AB333" s="31"/>
      <c r="AC333" s="31"/>
      <c r="AD333" s="31"/>
      <c r="AE333" s="31"/>
      <c r="AT333" s="19" t="s">
        <v>158</v>
      </c>
      <c r="AU333" s="19" t="s">
        <v>85</v>
      </c>
    </row>
    <row r="334" spans="1:65" s="2" customFormat="1" ht="49.15" customHeight="1">
      <c r="A334" s="31"/>
      <c r="B334" s="136"/>
      <c r="C334" s="137">
        <v>77</v>
      </c>
      <c r="D334" s="137" t="s">
        <v>147</v>
      </c>
      <c r="E334" s="138" t="s">
        <v>1127</v>
      </c>
      <c r="F334" s="139" t="s">
        <v>1128</v>
      </c>
      <c r="G334" s="140" t="s">
        <v>387</v>
      </c>
      <c r="H334" s="141">
        <f>H332</f>
        <v>0</v>
      </c>
      <c r="I334" s="278"/>
      <c r="J334" s="142">
        <f>ROUND(I334*H334,2)</f>
        <v>0</v>
      </c>
      <c r="K334" s="139" t="s">
        <v>157</v>
      </c>
      <c r="L334" s="32"/>
      <c r="M334" s="143" t="s">
        <v>3</v>
      </c>
      <c r="N334" s="144" t="s">
        <v>46</v>
      </c>
      <c r="O334" s="145">
        <v>0</v>
      </c>
      <c r="P334" s="145">
        <f>O334*H334</f>
        <v>0</v>
      </c>
      <c r="Q334" s="145">
        <v>0</v>
      </c>
      <c r="R334" s="145">
        <f>Q334*H334</f>
        <v>0</v>
      </c>
      <c r="S334" s="145">
        <v>0</v>
      </c>
      <c r="T334" s="146">
        <f>S334*H334</f>
        <v>0</v>
      </c>
      <c r="U334" s="31"/>
      <c r="V334" s="31"/>
      <c r="W334" s="31"/>
      <c r="X334" s="31"/>
      <c r="Y334" s="31"/>
      <c r="Z334" s="31"/>
      <c r="AA334" s="31"/>
      <c r="AB334" s="31"/>
      <c r="AC334" s="31"/>
      <c r="AD334" s="31"/>
      <c r="AE334" s="31"/>
      <c r="AR334" s="147" t="s">
        <v>218</v>
      </c>
      <c r="AT334" s="147" t="s">
        <v>147</v>
      </c>
      <c r="AU334" s="147" t="s">
        <v>85</v>
      </c>
      <c r="AY334" s="19" t="s">
        <v>144</v>
      </c>
      <c r="BE334" s="148">
        <f>IF(N334="základní",J334,0)</f>
        <v>0</v>
      </c>
      <c r="BF334" s="148">
        <f>IF(N334="snížená",J334,0)</f>
        <v>0</v>
      </c>
      <c r="BG334" s="148">
        <f>IF(N334="zákl. přenesená",J334,0)</f>
        <v>0</v>
      </c>
      <c r="BH334" s="148">
        <f>IF(N334="sníž. přenesená",J334,0)</f>
        <v>0</v>
      </c>
      <c r="BI334" s="148">
        <f>IF(N334="nulová",J334,0)</f>
        <v>0</v>
      </c>
      <c r="BJ334" s="19" t="s">
        <v>83</v>
      </c>
      <c r="BK334" s="148">
        <f>ROUND(I334*H334,2)</f>
        <v>0</v>
      </c>
      <c r="BL334" s="19" t="s">
        <v>218</v>
      </c>
      <c r="BM334" s="147" t="s">
        <v>1129</v>
      </c>
    </row>
    <row r="335" spans="1:47" s="2" customFormat="1" ht="126.75">
      <c r="A335" s="31"/>
      <c r="B335" s="32"/>
      <c r="C335" s="31"/>
      <c r="D335" s="150" t="s">
        <v>158</v>
      </c>
      <c r="E335" s="31"/>
      <c r="F335" s="163" t="s">
        <v>661</v>
      </c>
      <c r="G335" s="31"/>
      <c r="H335" s="31"/>
      <c r="I335" s="279"/>
      <c r="J335" s="31"/>
      <c r="K335" s="31"/>
      <c r="L335" s="32"/>
      <c r="M335" s="164"/>
      <c r="N335" s="165"/>
      <c r="O335" s="52"/>
      <c r="P335" s="52"/>
      <c r="Q335" s="52"/>
      <c r="R335" s="52"/>
      <c r="S335" s="52"/>
      <c r="T335" s="53"/>
      <c r="U335" s="31"/>
      <c r="V335" s="31"/>
      <c r="W335" s="31"/>
      <c r="X335" s="31"/>
      <c r="Y335" s="31"/>
      <c r="Z335" s="31"/>
      <c r="AA335" s="31"/>
      <c r="AB335" s="31"/>
      <c r="AC335" s="31"/>
      <c r="AD335" s="31"/>
      <c r="AE335" s="31"/>
      <c r="AT335" s="19" t="s">
        <v>158</v>
      </c>
      <c r="AU335" s="19" t="s">
        <v>85</v>
      </c>
    </row>
    <row r="336" spans="2:63" s="12" customFormat="1" ht="22.9" customHeight="1">
      <c r="B336" s="124"/>
      <c r="D336" s="125" t="s">
        <v>74</v>
      </c>
      <c r="E336" s="134" t="s">
        <v>1130</v>
      </c>
      <c r="F336" s="134" t="s">
        <v>1131</v>
      </c>
      <c r="I336" s="285"/>
      <c r="J336" s="135">
        <f>BK336</f>
        <v>0</v>
      </c>
      <c r="L336" s="124"/>
      <c r="M336" s="128"/>
      <c r="N336" s="129"/>
      <c r="O336" s="129"/>
      <c r="P336" s="130">
        <f>SUM(P337:P348)</f>
        <v>18.6</v>
      </c>
      <c r="Q336" s="129"/>
      <c r="R336" s="130">
        <f>SUM(R337:R348)</f>
        <v>0.0591</v>
      </c>
      <c r="S336" s="129"/>
      <c r="T336" s="131">
        <f>SUM(T337:T348)</f>
        <v>0</v>
      </c>
      <c r="AR336" s="125" t="s">
        <v>85</v>
      </c>
      <c r="AT336" s="132" t="s">
        <v>74</v>
      </c>
      <c r="AU336" s="132" t="s">
        <v>83</v>
      </c>
      <c r="AY336" s="125" t="s">
        <v>144</v>
      </c>
      <c r="BK336" s="133">
        <f>SUM(BK337:BK348)</f>
        <v>0</v>
      </c>
    </row>
    <row r="337" spans="1:65" s="2" customFormat="1" ht="37.9" customHeight="1">
      <c r="A337" s="31"/>
      <c r="B337" s="136"/>
      <c r="C337" s="137">
        <v>78</v>
      </c>
      <c r="D337" s="137" t="s">
        <v>147</v>
      </c>
      <c r="E337" s="138" t="s">
        <v>1132</v>
      </c>
      <c r="F337" s="139" t="s">
        <v>1133</v>
      </c>
      <c r="G337" s="140" t="s">
        <v>960</v>
      </c>
      <c r="H337" s="141">
        <f>H342</f>
        <v>6</v>
      </c>
      <c r="I337" s="278"/>
      <c r="J337" s="142">
        <f>ROUND(I337*H337,2)</f>
        <v>0</v>
      </c>
      <c r="K337" s="139" t="s">
        <v>157</v>
      </c>
      <c r="L337" s="32"/>
      <c r="M337" s="143" t="s">
        <v>3</v>
      </c>
      <c r="N337" s="144" t="s">
        <v>46</v>
      </c>
      <c r="O337" s="145">
        <v>2.5</v>
      </c>
      <c r="P337" s="145">
        <f>O337*H337</f>
        <v>15</v>
      </c>
      <c r="Q337" s="145">
        <v>0.0092</v>
      </c>
      <c r="R337" s="145">
        <f>Q337*H337</f>
        <v>0.0552</v>
      </c>
      <c r="S337" s="145">
        <v>0</v>
      </c>
      <c r="T337" s="146">
        <f>S337*H337</f>
        <v>0</v>
      </c>
      <c r="U337" s="31"/>
      <c r="V337" s="31"/>
      <c r="W337" s="31"/>
      <c r="X337" s="31"/>
      <c r="Y337" s="31"/>
      <c r="Z337" s="31"/>
      <c r="AA337" s="31"/>
      <c r="AB337" s="31"/>
      <c r="AC337" s="31"/>
      <c r="AD337" s="31"/>
      <c r="AE337" s="31"/>
      <c r="AR337" s="147" t="s">
        <v>218</v>
      </c>
      <c r="AT337" s="147" t="s">
        <v>147</v>
      </c>
      <c r="AU337" s="147" t="s">
        <v>85</v>
      </c>
      <c r="AY337" s="19" t="s">
        <v>144</v>
      </c>
      <c r="BE337" s="148">
        <f>IF(N337="základní",J337,0)</f>
        <v>0</v>
      </c>
      <c r="BF337" s="148">
        <f>IF(N337="snížená",J337,0)</f>
        <v>0</v>
      </c>
      <c r="BG337" s="148">
        <f>IF(N337="zákl. přenesená",J337,0)</f>
        <v>0</v>
      </c>
      <c r="BH337" s="148">
        <f>IF(N337="sníž. přenesená",J337,0)</f>
        <v>0</v>
      </c>
      <c r="BI337" s="148">
        <f>IF(N337="nulová",J337,0)</f>
        <v>0</v>
      </c>
      <c r="BJ337" s="19" t="s">
        <v>83</v>
      </c>
      <c r="BK337" s="148">
        <f>ROUND(I337*H337,2)</f>
        <v>0</v>
      </c>
      <c r="BL337" s="19" t="s">
        <v>218</v>
      </c>
      <c r="BM337" s="147" t="s">
        <v>1134</v>
      </c>
    </row>
    <row r="338" spans="1:47" s="2" customFormat="1" ht="78">
      <c r="A338" s="31"/>
      <c r="B338" s="32"/>
      <c r="C338" s="31"/>
      <c r="D338" s="150" t="s">
        <v>158</v>
      </c>
      <c r="E338" s="31"/>
      <c r="F338" s="163" t="s">
        <v>1135</v>
      </c>
      <c r="G338" s="31"/>
      <c r="H338" s="31"/>
      <c r="I338" s="279"/>
      <c r="J338" s="31"/>
      <c r="K338" s="31"/>
      <c r="L338" s="32"/>
      <c r="M338" s="164"/>
      <c r="N338" s="165"/>
      <c r="O338" s="52"/>
      <c r="P338" s="52"/>
      <c r="Q338" s="52"/>
      <c r="R338" s="52"/>
      <c r="S338" s="52"/>
      <c r="T338" s="53"/>
      <c r="U338" s="31"/>
      <c r="V338" s="31"/>
      <c r="W338" s="31"/>
      <c r="X338" s="31"/>
      <c r="Y338" s="31"/>
      <c r="Z338" s="31"/>
      <c r="AA338" s="31"/>
      <c r="AB338" s="31"/>
      <c r="AC338" s="31"/>
      <c r="AD338" s="31"/>
      <c r="AE338" s="31"/>
      <c r="AT338" s="19" t="s">
        <v>158</v>
      </c>
      <c r="AU338" s="19" t="s">
        <v>85</v>
      </c>
    </row>
    <row r="339" spans="1:47" s="2" customFormat="1" ht="39">
      <c r="A339" s="31"/>
      <c r="B339" s="32"/>
      <c r="C339" s="31"/>
      <c r="D339" s="150" t="s">
        <v>270</v>
      </c>
      <c r="E339" s="31"/>
      <c r="F339" s="163" t="s">
        <v>1136</v>
      </c>
      <c r="G339" s="31"/>
      <c r="H339" s="31"/>
      <c r="I339" s="279"/>
      <c r="J339" s="31"/>
      <c r="K339" s="31"/>
      <c r="L339" s="32"/>
      <c r="M339" s="164"/>
      <c r="N339" s="165"/>
      <c r="O339" s="52"/>
      <c r="P339" s="52"/>
      <c r="Q339" s="52"/>
      <c r="R339" s="52"/>
      <c r="S339" s="52"/>
      <c r="T339" s="53"/>
      <c r="U339" s="31"/>
      <c r="V339" s="31"/>
      <c r="W339" s="31"/>
      <c r="X339" s="31"/>
      <c r="Y339" s="31"/>
      <c r="Z339" s="31"/>
      <c r="AA339" s="31"/>
      <c r="AB339" s="31"/>
      <c r="AC339" s="31"/>
      <c r="AD339" s="31"/>
      <c r="AE339" s="31"/>
      <c r="AT339" s="19" t="s">
        <v>270</v>
      </c>
      <c r="AU339" s="19" t="s">
        <v>85</v>
      </c>
    </row>
    <row r="340" spans="2:51" s="13" customFormat="1" ht="12">
      <c r="B340" s="149"/>
      <c r="D340" s="150" t="s">
        <v>154</v>
      </c>
      <c r="E340" s="151" t="s">
        <v>3</v>
      </c>
      <c r="F340" s="152" t="s">
        <v>893</v>
      </c>
      <c r="H340" s="151" t="s">
        <v>3</v>
      </c>
      <c r="I340" s="282"/>
      <c r="L340" s="149"/>
      <c r="M340" s="153"/>
      <c r="N340" s="154"/>
      <c r="O340" s="154"/>
      <c r="P340" s="154"/>
      <c r="Q340" s="154"/>
      <c r="R340" s="154"/>
      <c r="S340" s="154"/>
      <c r="T340" s="155"/>
      <c r="AT340" s="151" t="s">
        <v>154</v>
      </c>
      <c r="AU340" s="151" t="s">
        <v>85</v>
      </c>
      <c r="AV340" s="13" t="s">
        <v>83</v>
      </c>
      <c r="AW340" s="13" t="s">
        <v>37</v>
      </c>
      <c r="AX340" s="13" t="s">
        <v>75</v>
      </c>
      <c r="AY340" s="151" t="s">
        <v>144</v>
      </c>
    </row>
    <row r="341" spans="2:51" s="13" customFormat="1" ht="12">
      <c r="B341" s="149"/>
      <c r="D341" s="150" t="s">
        <v>154</v>
      </c>
      <c r="E341" s="151" t="s">
        <v>3</v>
      </c>
      <c r="F341" s="152" t="s">
        <v>1835</v>
      </c>
      <c r="H341" s="151" t="s">
        <v>3</v>
      </c>
      <c r="I341" s="282"/>
      <c r="L341" s="149"/>
      <c r="M341" s="153"/>
      <c r="N341" s="154"/>
      <c r="O341" s="154"/>
      <c r="P341" s="154"/>
      <c r="Q341" s="154"/>
      <c r="R341" s="154"/>
      <c r="S341" s="154"/>
      <c r="T341" s="155"/>
      <c r="AT341" s="151" t="s">
        <v>154</v>
      </c>
      <c r="AU341" s="151" t="s">
        <v>85</v>
      </c>
      <c r="AV341" s="13" t="s">
        <v>83</v>
      </c>
      <c r="AW341" s="13" t="s">
        <v>37</v>
      </c>
      <c r="AX341" s="13" t="s">
        <v>75</v>
      </c>
      <c r="AY341" s="151" t="s">
        <v>144</v>
      </c>
    </row>
    <row r="342" spans="2:51" s="14" customFormat="1" ht="12">
      <c r="B342" s="156"/>
      <c r="D342" s="150" t="s">
        <v>154</v>
      </c>
      <c r="E342" s="157" t="s">
        <v>3</v>
      </c>
      <c r="F342" s="158" t="s">
        <v>901</v>
      </c>
      <c r="H342" s="159">
        <v>6</v>
      </c>
      <c r="I342" s="280"/>
      <c r="L342" s="156"/>
      <c r="M342" s="160"/>
      <c r="N342" s="161"/>
      <c r="O342" s="161"/>
      <c r="P342" s="161"/>
      <c r="Q342" s="161"/>
      <c r="R342" s="161"/>
      <c r="S342" s="161"/>
      <c r="T342" s="162"/>
      <c r="AT342" s="157" t="s">
        <v>154</v>
      </c>
      <c r="AU342" s="157" t="s">
        <v>85</v>
      </c>
      <c r="AV342" s="14" t="s">
        <v>85</v>
      </c>
      <c r="AW342" s="14" t="s">
        <v>37</v>
      </c>
      <c r="AX342" s="14" t="s">
        <v>75</v>
      </c>
      <c r="AY342" s="157" t="s">
        <v>144</v>
      </c>
    </row>
    <row r="343" spans="1:65" s="2" customFormat="1" ht="24.2" customHeight="1">
      <c r="A343" s="31"/>
      <c r="B343" s="136"/>
      <c r="C343" s="137">
        <v>79</v>
      </c>
      <c r="D343" s="137" t="s">
        <v>147</v>
      </c>
      <c r="E343" s="138" t="s">
        <v>1137</v>
      </c>
      <c r="F343" s="139" t="s">
        <v>1138</v>
      </c>
      <c r="G343" s="140" t="s">
        <v>960</v>
      </c>
      <c r="H343" s="141">
        <f>H337</f>
        <v>6</v>
      </c>
      <c r="I343" s="278"/>
      <c r="J343" s="142">
        <f>ROUND(I343*H343,2)</f>
        <v>0</v>
      </c>
      <c r="K343" s="139" t="s">
        <v>157</v>
      </c>
      <c r="L343" s="32"/>
      <c r="M343" s="143" t="s">
        <v>3</v>
      </c>
      <c r="N343" s="144" t="s">
        <v>46</v>
      </c>
      <c r="O343" s="145">
        <v>0.1</v>
      </c>
      <c r="P343" s="145">
        <f>O343*H343</f>
        <v>0.6000000000000001</v>
      </c>
      <c r="Q343" s="145">
        <v>0.00015</v>
      </c>
      <c r="R343" s="145">
        <f>Q343*H343</f>
        <v>0.0009</v>
      </c>
      <c r="S343" s="145">
        <v>0</v>
      </c>
      <c r="T343" s="146">
        <f>S343*H343</f>
        <v>0</v>
      </c>
      <c r="U343" s="31"/>
      <c r="V343" s="31"/>
      <c r="W343" s="31"/>
      <c r="X343" s="31"/>
      <c r="Y343" s="31"/>
      <c r="Z343" s="31"/>
      <c r="AA343" s="31"/>
      <c r="AB343" s="31"/>
      <c r="AC343" s="31"/>
      <c r="AD343" s="31"/>
      <c r="AE343" s="31"/>
      <c r="AR343" s="147" t="s">
        <v>218</v>
      </c>
      <c r="AT343" s="147" t="s">
        <v>147</v>
      </c>
      <c r="AU343" s="147" t="s">
        <v>85</v>
      </c>
      <c r="AY343" s="19" t="s">
        <v>144</v>
      </c>
      <c r="BE343" s="148">
        <f>IF(N343="základní",J343,0)</f>
        <v>0</v>
      </c>
      <c r="BF343" s="148">
        <f>IF(N343="snížená",J343,0)</f>
        <v>0</v>
      </c>
      <c r="BG343" s="148">
        <f>IF(N343="zákl. přenesená",J343,0)</f>
        <v>0</v>
      </c>
      <c r="BH343" s="148">
        <f>IF(N343="sníž. přenesená",J343,0)</f>
        <v>0</v>
      </c>
      <c r="BI343" s="148">
        <f>IF(N343="nulová",J343,0)</f>
        <v>0</v>
      </c>
      <c r="BJ343" s="19" t="s">
        <v>83</v>
      </c>
      <c r="BK343" s="148">
        <f>ROUND(I343*H343,2)</f>
        <v>0</v>
      </c>
      <c r="BL343" s="19" t="s">
        <v>218</v>
      </c>
      <c r="BM343" s="147" t="s">
        <v>1139</v>
      </c>
    </row>
    <row r="344" spans="1:65" s="2" customFormat="1" ht="24.2" customHeight="1">
      <c r="A344" s="31"/>
      <c r="B344" s="136"/>
      <c r="C344" s="137">
        <v>80</v>
      </c>
      <c r="D344" s="137" t="s">
        <v>147</v>
      </c>
      <c r="E344" s="138" t="s">
        <v>1140</v>
      </c>
      <c r="F344" s="139" t="s">
        <v>1141</v>
      </c>
      <c r="G344" s="140" t="s">
        <v>960</v>
      </c>
      <c r="H344" s="141">
        <f>H337</f>
        <v>6</v>
      </c>
      <c r="I344" s="278"/>
      <c r="J344" s="142">
        <f>ROUND(I344*H344,2)</f>
        <v>0</v>
      </c>
      <c r="K344" s="139" t="s">
        <v>157</v>
      </c>
      <c r="L344" s="32"/>
      <c r="M344" s="143" t="s">
        <v>3</v>
      </c>
      <c r="N344" s="144" t="s">
        <v>46</v>
      </c>
      <c r="O344" s="145">
        <v>0.5</v>
      </c>
      <c r="P344" s="145">
        <f>O344*H344</f>
        <v>3</v>
      </c>
      <c r="Q344" s="145">
        <v>0.0005</v>
      </c>
      <c r="R344" s="145">
        <f>Q344*H344</f>
        <v>0.003</v>
      </c>
      <c r="S344" s="145">
        <v>0</v>
      </c>
      <c r="T344" s="146">
        <f>S344*H344</f>
        <v>0</v>
      </c>
      <c r="U344" s="31"/>
      <c r="V344" s="31"/>
      <c r="W344" s="31"/>
      <c r="X344" s="31"/>
      <c r="Y344" s="31"/>
      <c r="Z344" s="31"/>
      <c r="AA344" s="31"/>
      <c r="AB344" s="31"/>
      <c r="AC344" s="31"/>
      <c r="AD344" s="31"/>
      <c r="AE344" s="31"/>
      <c r="AR344" s="147" t="s">
        <v>218</v>
      </c>
      <c r="AT344" s="147" t="s">
        <v>147</v>
      </c>
      <c r="AU344" s="147" t="s">
        <v>85</v>
      </c>
      <c r="AY344" s="19" t="s">
        <v>144</v>
      </c>
      <c r="BE344" s="148">
        <f>IF(N344="základní",J344,0)</f>
        <v>0</v>
      </c>
      <c r="BF344" s="148">
        <f>IF(N344="snížená",J344,0)</f>
        <v>0</v>
      </c>
      <c r="BG344" s="148">
        <f>IF(N344="zákl. přenesená",J344,0)</f>
        <v>0</v>
      </c>
      <c r="BH344" s="148">
        <f>IF(N344="sníž. přenesená",J344,0)</f>
        <v>0</v>
      </c>
      <c r="BI344" s="148">
        <f>IF(N344="nulová",J344,0)</f>
        <v>0</v>
      </c>
      <c r="BJ344" s="19" t="s">
        <v>83</v>
      </c>
      <c r="BK344" s="148">
        <f>ROUND(I344*H344,2)</f>
        <v>0</v>
      </c>
      <c r="BL344" s="19" t="s">
        <v>218</v>
      </c>
      <c r="BM344" s="147" t="s">
        <v>1142</v>
      </c>
    </row>
    <row r="345" spans="1:65" s="2" customFormat="1" ht="37.9" customHeight="1">
      <c r="A345" s="31"/>
      <c r="B345" s="136"/>
      <c r="C345" s="137">
        <v>81</v>
      </c>
      <c r="D345" s="137" t="s">
        <v>147</v>
      </c>
      <c r="E345" s="138" t="s">
        <v>1143</v>
      </c>
      <c r="F345" s="139" t="s">
        <v>1144</v>
      </c>
      <c r="G345" s="140" t="s">
        <v>387</v>
      </c>
      <c r="H345" s="141">
        <f>SUM(J337:J344)/100</f>
        <v>0</v>
      </c>
      <c r="I345" s="278"/>
      <c r="J345" s="142">
        <f>ROUND(I345*H345,2)</f>
        <v>0</v>
      </c>
      <c r="K345" s="139" t="s">
        <v>157</v>
      </c>
      <c r="L345" s="32"/>
      <c r="M345" s="143" t="s">
        <v>3</v>
      </c>
      <c r="N345" s="144" t="s">
        <v>46</v>
      </c>
      <c r="O345" s="145">
        <v>0</v>
      </c>
      <c r="P345" s="145">
        <f>O345*H345</f>
        <v>0</v>
      </c>
      <c r="Q345" s="145">
        <v>0</v>
      </c>
      <c r="R345" s="145">
        <f>Q345*H345</f>
        <v>0</v>
      </c>
      <c r="S345" s="145">
        <v>0</v>
      </c>
      <c r="T345" s="146">
        <f>S345*H345</f>
        <v>0</v>
      </c>
      <c r="U345" s="31"/>
      <c r="V345" s="31"/>
      <c r="W345" s="31"/>
      <c r="X345" s="31"/>
      <c r="Y345" s="31"/>
      <c r="Z345" s="31"/>
      <c r="AA345" s="31"/>
      <c r="AB345" s="31"/>
      <c r="AC345" s="31"/>
      <c r="AD345" s="31"/>
      <c r="AE345" s="31"/>
      <c r="AR345" s="147" t="s">
        <v>218</v>
      </c>
      <c r="AT345" s="147" t="s">
        <v>147</v>
      </c>
      <c r="AU345" s="147" t="s">
        <v>85</v>
      </c>
      <c r="AY345" s="19" t="s">
        <v>144</v>
      </c>
      <c r="BE345" s="148">
        <f>IF(N345="základní",J345,0)</f>
        <v>0</v>
      </c>
      <c r="BF345" s="148">
        <f>IF(N345="snížená",J345,0)</f>
        <v>0</v>
      </c>
      <c r="BG345" s="148">
        <f>IF(N345="zákl. přenesená",J345,0)</f>
        <v>0</v>
      </c>
      <c r="BH345" s="148">
        <f>IF(N345="sníž. přenesená",J345,0)</f>
        <v>0</v>
      </c>
      <c r="BI345" s="148">
        <f>IF(N345="nulová",J345,0)</f>
        <v>0</v>
      </c>
      <c r="BJ345" s="19" t="s">
        <v>83</v>
      </c>
      <c r="BK345" s="148">
        <f>ROUND(I345*H345,2)</f>
        <v>0</v>
      </c>
      <c r="BL345" s="19" t="s">
        <v>218</v>
      </c>
      <c r="BM345" s="147" t="s">
        <v>1145</v>
      </c>
    </row>
    <row r="346" spans="1:47" s="2" customFormat="1" ht="126.75">
      <c r="A346" s="31"/>
      <c r="B346" s="32"/>
      <c r="C346" s="31"/>
      <c r="D346" s="150" t="s">
        <v>158</v>
      </c>
      <c r="E346" s="31"/>
      <c r="F346" s="163" t="s">
        <v>552</v>
      </c>
      <c r="G346" s="31"/>
      <c r="H346" s="31"/>
      <c r="I346" s="279"/>
      <c r="J346" s="31"/>
      <c r="K346" s="31"/>
      <c r="L346" s="32"/>
      <c r="M346" s="164"/>
      <c r="N346" s="165"/>
      <c r="O346" s="52"/>
      <c r="P346" s="52"/>
      <c r="Q346" s="52"/>
      <c r="R346" s="52"/>
      <c r="S346" s="52"/>
      <c r="T346" s="53"/>
      <c r="U346" s="31"/>
      <c r="V346" s="31"/>
      <c r="W346" s="31"/>
      <c r="X346" s="31"/>
      <c r="Y346" s="31"/>
      <c r="Z346" s="31"/>
      <c r="AA346" s="31"/>
      <c r="AB346" s="31"/>
      <c r="AC346" s="31"/>
      <c r="AD346" s="31"/>
      <c r="AE346" s="31"/>
      <c r="AT346" s="19" t="s">
        <v>158</v>
      </c>
      <c r="AU346" s="19" t="s">
        <v>85</v>
      </c>
    </row>
    <row r="347" spans="1:65" s="2" customFormat="1" ht="49.15" customHeight="1">
      <c r="A347" s="31"/>
      <c r="B347" s="136"/>
      <c r="C347" s="137">
        <v>82</v>
      </c>
      <c r="D347" s="137" t="s">
        <v>147</v>
      </c>
      <c r="E347" s="138" t="s">
        <v>1146</v>
      </c>
      <c r="F347" s="139" t="s">
        <v>1147</v>
      </c>
      <c r="G347" s="140" t="s">
        <v>387</v>
      </c>
      <c r="H347" s="141">
        <f>H345</f>
        <v>0</v>
      </c>
      <c r="I347" s="278"/>
      <c r="J347" s="142">
        <f>ROUND(I347*H347,2)</f>
        <v>0</v>
      </c>
      <c r="K347" s="139" t="s">
        <v>157</v>
      </c>
      <c r="L347" s="32"/>
      <c r="M347" s="143" t="s">
        <v>3</v>
      </c>
      <c r="N347" s="144" t="s">
        <v>46</v>
      </c>
      <c r="O347" s="145">
        <v>0</v>
      </c>
      <c r="P347" s="145">
        <f>O347*H347</f>
        <v>0</v>
      </c>
      <c r="Q347" s="145">
        <v>0</v>
      </c>
      <c r="R347" s="145">
        <f>Q347*H347</f>
        <v>0</v>
      </c>
      <c r="S347" s="145">
        <v>0</v>
      </c>
      <c r="T347" s="146">
        <f>S347*H347</f>
        <v>0</v>
      </c>
      <c r="U347" s="31"/>
      <c r="V347" s="31"/>
      <c r="W347" s="31"/>
      <c r="X347" s="31"/>
      <c r="Y347" s="31"/>
      <c r="Z347" s="31"/>
      <c r="AA347" s="31"/>
      <c r="AB347" s="31"/>
      <c r="AC347" s="31"/>
      <c r="AD347" s="31"/>
      <c r="AE347" s="31"/>
      <c r="AR347" s="147" t="s">
        <v>218</v>
      </c>
      <c r="AT347" s="147" t="s">
        <v>147</v>
      </c>
      <c r="AU347" s="147" t="s">
        <v>85</v>
      </c>
      <c r="AY347" s="19" t="s">
        <v>144</v>
      </c>
      <c r="BE347" s="148">
        <f>IF(N347="základní",J347,0)</f>
        <v>0</v>
      </c>
      <c r="BF347" s="148">
        <f>IF(N347="snížená",J347,0)</f>
        <v>0</v>
      </c>
      <c r="BG347" s="148">
        <f>IF(N347="zákl. přenesená",J347,0)</f>
        <v>0</v>
      </c>
      <c r="BH347" s="148">
        <f>IF(N347="sníž. přenesená",J347,0)</f>
        <v>0</v>
      </c>
      <c r="BI347" s="148">
        <f>IF(N347="nulová",J347,0)</f>
        <v>0</v>
      </c>
      <c r="BJ347" s="19" t="s">
        <v>83</v>
      </c>
      <c r="BK347" s="148">
        <f>ROUND(I347*H347,2)</f>
        <v>0</v>
      </c>
      <c r="BL347" s="19" t="s">
        <v>218</v>
      </c>
      <c r="BM347" s="147" t="s">
        <v>1148</v>
      </c>
    </row>
    <row r="348" spans="1:47" s="2" customFormat="1" ht="126.75">
      <c r="A348" s="31"/>
      <c r="B348" s="32"/>
      <c r="C348" s="31"/>
      <c r="D348" s="150" t="s">
        <v>158</v>
      </c>
      <c r="E348" s="31"/>
      <c r="F348" s="163" t="s">
        <v>552</v>
      </c>
      <c r="G348" s="31"/>
      <c r="H348" s="31"/>
      <c r="I348" s="279"/>
      <c r="J348" s="31"/>
      <c r="K348" s="31"/>
      <c r="L348" s="32"/>
      <c r="M348" s="164"/>
      <c r="N348" s="165"/>
      <c r="O348" s="52"/>
      <c r="P348" s="52"/>
      <c r="Q348" s="52"/>
      <c r="R348" s="52"/>
      <c r="S348" s="52"/>
      <c r="T348" s="53"/>
      <c r="U348" s="31"/>
      <c r="V348" s="31"/>
      <c r="W348" s="31"/>
      <c r="X348" s="31"/>
      <c r="Y348" s="31"/>
      <c r="Z348" s="31"/>
      <c r="AA348" s="31"/>
      <c r="AB348" s="31"/>
      <c r="AC348" s="31"/>
      <c r="AD348" s="31"/>
      <c r="AE348" s="31"/>
      <c r="AT348" s="19" t="s">
        <v>158</v>
      </c>
      <c r="AU348" s="19" t="s">
        <v>85</v>
      </c>
    </row>
    <row r="349" spans="2:63" s="12" customFormat="1" ht="25.9" customHeight="1">
      <c r="B349" s="124"/>
      <c r="D349" s="125" t="s">
        <v>74</v>
      </c>
      <c r="E349" s="126" t="s">
        <v>1149</v>
      </c>
      <c r="F349" s="126" t="s">
        <v>1150</v>
      </c>
      <c r="J349" s="127">
        <f>BK349</f>
        <v>0</v>
      </c>
      <c r="L349" s="124"/>
      <c r="M349" s="128"/>
      <c r="N349" s="129"/>
      <c r="O349" s="129"/>
      <c r="P349" s="130">
        <f>SUM(P350:P351)</f>
        <v>8</v>
      </c>
      <c r="Q349" s="129"/>
      <c r="R349" s="130">
        <f>SUM(R350:R351)</f>
        <v>0</v>
      </c>
      <c r="S349" s="129"/>
      <c r="T349" s="131">
        <f>SUM(T350:T351)</f>
        <v>0</v>
      </c>
      <c r="AR349" s="125" t="s">
        <v>152</v>
      </c>
      <c r="AT349" s="132" t="s">
        <v>74</v>
      </c>
      <c r="AU349" s="132" t="s">
        <v>75</v>
      </c>
      <c r="AY349" s="125" t="s">
        <v>144</v>
      </c>
      <c r="BK349" s="133">
        <f>SUM(BK350:BK351)</f>
        <v>0</v>
      </c>
    </row>
    <row r="350" spans="1:65" s="2" customFormat="1" ht="24.2" customHeight="1">
      <c r="A350" s="31"/>
      <c r="B350" s="136"/>
      <c r="C350" s="137">
        <v>83</v>
      </c>
      <c r="D350" s="137" t="s">
        <v>147</v>
      </c>
      <c r="E350" s="138" t="s">
        <v>1151</v>
      </c>
      <c r="F350" s="139" t="s">
        <v>1152</v>
      </c>
      <c r="G350" s="140" t="s">
        <v>1153</v>
      </c>
      <c r="H350" s="141">
        <v>8</v>
      </c>
      <c r="I350" s="142"/>
      <c r="J350" s="142">
        <f>ROUND(I350*H350,2)</f>
        <v>0</v>
      </c>
      <c r="K350" s="139" t="s">
        <v>157</v>
      </c>
      <c r="L350" s="32"/>
      <c r="M350" s="143" t="s">
        <v>3</v>
      </c>
      <c r="N350" s="144" t="s">
        <v>46</v>
      </c>
      <c r="O350" s="145">
        <v>1</v>
      </c>
      <c r="P350" s="145">
        <f>O350*H350</f>
        <v>8</v>
      </c>
      <c r="Q350" s="145">
        <v>0</v>
      </c>
      <c r="R350" s="145">
        <f>Q350*H350</f>
        <v>0</v>
      </c>
      <c r="S350" s="145">
        <v>0</v>
      </c>
      <c r="T350" s="146">
        <f>S350*H350</f>
        <v>0</v>
      </c>
      <c r="U350" s="31"/>
      <c r="V350" s="31"/>
      <c r="W350" s="31"/>
      <c r="X350" s="31"/>
      <c r="Y350" s="31"/>
      <c r="Z350" s="31"/>
      <c r="AA350" s="31"/>
      <c r="AB350" s="31"/>
      <c r="AC350" s="31"/>
      <c r="AD350" s="31"/>
      <c r="AE350" s="31"/>
      <c r="AR350" s="147" t="s">
        <v>1154</v>
      </c>
      <c r="AT350" s="147" t="s">
        <v>147</v>
      </c>
      <c r="AU350" s="147" t="s">
        <v>83</v>
      </c>
      <c r="AY350" s="19" t="s">
        <v>144</v>
      </c>
      <c r="BE350" s="148">
        <f>IF(N350="základní",J350,0)</f>
        <v>0</v>
      </c>
      <c r="BF350" s="148">
        <f>IF(N350="snížená",J350,0)</f>
        <v>0</v>
      </c>
      <c r="BG350" s="148">
        <f>IF(N350="zákl. přenesená",J350,0)</f>
        <v>0</v>
      </c>
      <c r="BH350" s="148">
        <f>IF(N350="sníž. přenesená",J350,0)</f>
        <v>0</v>
      </c>
      <c r="BI350" s="148">
        <f>IF(N350="nulová",J350,0)</f>
        <v>0</v>
      </c>
      <c r="BJ350" s="19" t="s">
        <v>83</v>
      </c>
      <c r="BK350" s="148">
        <f>ROUND(I350*H350,2)</f>
        <v>0</v>
      </c>
      <c r="BL350" s="19" t="s">
        <v>1154</v>
      </c>
      <c r="BM350" s="147" t="s">
        <v>1155</v>
      </c>
    </row>
    <row r="351" spans="1:47" s="2" customFormat="1" ht="19.5">
      <c r="A351" s="31"/>
      <c r="B351" s="32"/>
      <c r="C351" s="31"/>
      <c r="D351" s="150" t="s">
        <v>270</v>
      </c>
      <c r="E351" s="31"/>
      <c r="F351" s="163" t="s">
        <v>1156</v>
      </c>
      <c r="G351" s="31"/>
      <c r="H351" s="31"/>
      <c r="I351" s="31"/>
      <c r="J351" s="31"/>
      <c r="K351" s="31"/>
      <c r="L351" s="32"/>
      <c r="M351" s="164"/>
      <c r="N351" s="165"/>
      <c r="O351" s="52"/>
      <c r="P351" s="52"/>
      <c r="Q351" s="52"/>
      <c r="R351" s="52"/>
      <c r="S351" s="52"/>
      <c r="T351" s="53"/>
      <c r="U351" s="31"/>
      <c r="V351" s="31"/>
      <c r="W351" s="31"/>
      <c r="X351" s="31"/>
      <c r="Y351" s="31"/>
      <c r="Z351" s="31"/>
      <c r="AA351" s="31"/>
      <c r="AB351" s="31"/>
      <c r="AC351" s="31"/>
      <c r="AD351" s="31"/>
      <c r="AE351" s="31"/>
      <c r="AT351" s="19" t="s">
        <v>270</v>
      </c>
      <c r="AU351" s="19" t="s">
        <v>83</v>
      </c>
    </row>
    <row r="352" spans="2:63" s="12" customFormat="1" ht="25.9" customHeight="1">
      <c r="B352" s="124"/>
      <c r="D352" s="125" t="s">
        <v>74</v>
      </c>
      <c r="E352" s="126" t="s">
        <v>102</v>
      </c>
      <c r="F352" s="126" t="s">
        <v>1157</v>
      </c>
      <c r="J352" s="127">
        <f>BK352</f>
        <v>0</v>
      </c>
      <c r="L352" s="124"/>
      <c r="M352" s="128"/>
      <c r="N352" s="129"/>
      <c r="O352" s="129"/>
      <c r="P352" s="130">
        <f>P353</f>
        <v>0</v>
      </c>
      <c r="Q352" s="129"/>
      <c r="R352" s="130">
        <f>R353</f>
        <v>0</v>
      </c>
      <c r="S352" s="129"/>
      <c r="T352" s="131">
        <f>T353</f>
        <v>0</v>
      </c>
      <c r="AR352" s="125" t="s">
        <v>173</v>
      </c>
      <c r="AT352" s="132" t="s">
        <v>74</v>
      </c>
      <c r="AU352" s="132" t="s">
        <v>75</v>
      </c>
      <c r="AY352" s="125" t="s">
        <v>144</v>
      </c>
      <c r="BK352" s="133">
        <f>BK353</f>
        <v>0</v>
      </c>
    </row>
    <row r="353" spans="2:63" s="12" customFormat="1" ht="22.9" customHeight="1">
      <c r="B353" s="124"/>
      <c r="D353" s="125" t="s">
        <v>74</v>
      </c>
      <c r="E353" s="134" t="s">
        <v>1158</v>
      </c>
      <c r="F353" s="134" t="s">
        <v>1159</v>
      </c>
      <c r="J353" s="135">
        <f>BK353</f>
        <v>0</v>
      </c>
      <c r="L353" s="124"/>
      <c r="M353" s="128"/>
      <c r="N353" s="129"/>
      <c r="O353" s="129"/>
      <c r="P353" s="130">
        <f>SUM(P354:P355)</f>
        <v>0</v>
      </c>
      <c r="Q353" s="129"/>
      <c r="R353" s="130">
        <f>SUM(R354:R355)</f>
        <v>0</v>
      </c>
      <c r="S353" s="129"/>
      <c r="T353" s="131">
        <f>SUM(T354:T355)</f>
        <v>0</v>
      </c>
      <c r="AR353" s="125" t="s">
        <v>173</v>
      </c>
      <c r="AT353" s="132" t="s">
        <v>74</v>
      </c>
      <c r="AU353" s="132" t="s">
        <v>83</v>
      </c>
      <c r="AY353" s="125" t="s">
        <v>144</v>
      </c>
      <c r="BK353" s="133">
        <f>SUM(BK354:BK355)</f>
        <v>0</v>
      </c>
    </row>
    <row r="354" spans="1:65" s="2" customFormat="1" ht="14.45" customHeight="1">
      <c r="A354" s="31"/>
      <c r="B354" s="136"/>
      <c r="C354" s="137">
        <v>84</v>
      </c>
      <c r="D354" s="137" t="s">
        <v>147</v>
      </c>
      <c r="E354" s="138" t="s">
        <v>1160</v>
      </c>
      <c r="F354" s="139" t="s">
        <v>1161</v>
      </c>
      <c r="G354" s="140" t="s">
        <v>1162</v>
      </c>
      <c r="H354" s="141">
        <v>1</v>
      </c>
      <c r="I354" s="142"/>
      <c r="J354" s="142">
        <f>ROUND(I354*H354,2)</f>
        <v>0</v>
      </c>
      <c r="K354" s="139" t="s">
        <v>157</v>
      </c>
      <c r="L354" s="32"/>
      <c r="M354" s="143" t="s">
        <v>3</v>
      </c>
      <c r="N354" s="144" t="s">
        <v>46</v>
      </c>
      <c r="O354" s="145">
        <v>0</v>
      </c>
      <c r="P354" s="145">
        <f>O354*H354</f>
        <v>0</v>
      </c>
      <c r="Q354" s="145">
        <v>0</v>
      </c>
      <c r="R354" s="145">
        <f>Q354*H354</f>
        <v>0</v>
      </c>
      <c r="S354" s="145">
        <v>0</v>
      </c>
      <c r="T354" s="146">
        <f>S354*H354</f>
        <v>0</v>
      </c>
      <c r="U354" s="31"/>
      <c r="V354" s="31"/>
      <c r="W354" s="31"/>
      <c r="X354" s="31"/>
      <c r="Y354" s="31"/>
      <c r="Z354" s="31"/>
      <c r="AA354" s="31"/>
      <c r="AB354" s="31"/>
      <c r="AC354" s="31"/>
      <c r="AD354" s="31"/>
      <c r="AE354" s="31"/>
      <c r="AR354" s="147" t="s">
        <v>1163</v>
      </c>
      <c r="AT354" s="147" t="s">
        <v>147</v>
      </c>
      <c r="AU354" s="147" t="s">
        <v>85</v>
      </c>
      <c r="AY354" s="19" t="s">
        <v>144</v>
      </c>
      <c r="BE354" s="148">
        <f>IF(N354="základní",J354,0)</f>
        <v>0</v>
      </c>
      <c r="BF354" s="148">
        <f>IF(N354="snížená",J354,0)</f>
        <v>0</v>
      </c>
      <c r="BG354" s="148">
        <f>IF(N354="zákl. přenesená",J354,0)</f>
        <v>0</v>
      </c>
      <c r="BH354" s="148">
        <f>IF(N354="sníž. přenesená",J354,0)</f>
        <v>0</v>
      </c>
      <c r="BI354" s="148">
        <f>IF(N354="nulová",J354,0)</f>
        <v>0</v>
      </c>
      <c r="BJ354" s="19" t="s">
        <v>83</v>
      </c>
      <c r="BK354" s="148">
        <f>ROUND(I354*H354,2)</f>
        <v>0</v>
      </c>
      <c r="BL354" s="19" t="s">
        <v>1163</v>
      </c>
      <c r="BM354" s="147" t="s">
        <v>1164</v>
      </c>
    </row>
    <row r="355" spans="1:47" s="2" customFormat="1" ht="58.5">
      <c r="A355" s="31"/>
      <c r="B355" s="32"/>
      <c r="C355" s="31"/>
      <c r="D355" s="150" t="s">
        <v>270</v>
      </c>
      <c r="E355" s="31"/>
      <c r="F355" s="163" t="s">
        <v>1165</v>
      </c>
      <c r="G355" s="31"/>
      <c r="H355" s="31"/>
      <c r="I355" s="31"/>
      <c r="J355" s="31"/>
      <c r="K355" s="31"/>
      <c r="L355" s="32"/>
      <c r="M355" s="189"/>
      <c r="N355" s="190"/>
      <c r="O355" s="191"/>
      <c r="P355" s="191"/>
      <c r="Q355" s="191"/>
      <c r="R355" s="191"/>
      <c r="S355" s="191"/>
      <c r="T355" s="192"/>
      <c r="U355" s="31"/>
      <c r="V355" s="31"/>
      <c r="W355" s="31"/>
      <c r="X355" s="31"/>
      <c r="Y355" s="31"/>
      <c r="Z355" s="31"/>
      <c r="AA355" s="31"/>
      <c r="AB355" s="31"/>
      <c r="AC355" s="31"/>
      <c r="AD355" s="31"/>
      <c r="AE355" s="31"/>
      <c r="AT355" s="19" t="s">
        <v>270</v>
      </c>
      <c r="AU355" s="19" t="s">
        <v>85</v>
      </c>
    </row>
    <row r="356" spans="1:31" s="2" customFormat="1" ht="6.95" customHeight="1">
      <c r="A356" s="31"/>
      <c r="B356" s="41"/>
      <c r="C356" s="42"/>
      <c r="D356" s="42"/>
      <c r="E356" s="42"/>
      <c r="F356" s="42"/>
      <c r="G356" s="42"/>
      <c r="H356" s="42"/>
      <c r="I356" s="42"/>
      <c r="J356" s="42"/>
      <c r="K356" s="42"/>
      <c r="L356" s="32"/>
      <c r="M356" s="31"/>
      <c r="O356" s="31"/>
      <c r="P356" s="31"/>
      <c r="Q356" s="31"/>
      <c r="R356" s="31"/>
      <c r="S356" s="31"/>
      <c r="T356" s="31"/>
      <c r="U356" s="31"/>
      <c r="V356" s="31"/>
      <c r="W356" s="31"/>
      <c r="X356" s="31"/>
      <c r="Y356" s="31"/>
      <c r="Z356" s="31"/>
      <c r="AA356" s="31"/>
      <c r="AB356" s="31"/>
      <c r="AC356" s="31"/>
      <c r="AD356" s="31"/>
      <c r="AE356" s="31"/>
    </row>
  </sheetData>
  <autoFilter ref="C93:K355"/>
  <mergeCells count="9">
    <mergeCell ref="E50:H50"/>
    <mergeCell ref="E84:H84"/>
    <mergeCell ref="E86:H86"/>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5" manualBreakCount="5">
    <brk id="190" min="2" max="16383" man="1"/>
    <brk id="224" min="2" max="16383" man="1"/>
    <brk id="253" min="2" max="16383" man="1"/>
    <brk id="300" min="2" max="16383" man="1"/>
    <brk id="331" min="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93"/>
  <sheetViews>
    <sheetView showGridLines="0" view="pageBreakPreview" zoomScale="80" zoomScaleSheetLayoutView="80" workbookViewId="0" topLeftCell="A72">
      <selection activeCell="I94" sqref="I94:I19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01" t="s">
        <v>6</v>
      </c>
      <c r="M2" s="302"/>
      <c r="N2" s="302"/>
      <c r="O2" s="302"/>
      <c r="P2" s="302"/>
      <c r="Q2" s="302"/>
      <c r="R2" s="302"/>
      <c r="S2" s="302"/>
      <c r="T2" s="302"/>
      <c r="U2" s="302"/>
      <c r="V2" s="302"/>
      <c r="AT2" s="19" t="s">
        <v>91</v>
      </c>
    </row>
    <row r="3" spans="2:46" s="1" customFormat="1" ht="6.95" customHeight="1">
      <c r="B3" s="20"/>
      <c r="C3" s="21"/>
      <c r="D3" s="21"/>
      <c r="E3" s="21"/>
      <c r="F3" s="21"/>
      <c r="G3" s="21"/>
      <c r="H3" s="21"/>
      <c r="I3" s="21"/>
      <c r="J3" s="21"/>
      <c r="K3" s="21"/>
      <c r="L3" s="22"/>
      <c r="AT3" s="19" t="s">
        <v>85</v>
      </c>
    </row>
    <row r="4" spans="2:46" s="1" customFormat="1" ht="24.95" customHeight="1">
      <c r="B4" s="22"/>
      <c r="D4" s="23" t="s">
        <v>104</v>
      </c>
      <c r="L4" s="22"/>
      <c r="M4" s="88" t="s">
        <v>11</v>
      </c>
      <c r="AT4" s="19" t="s">
        <v>4</v>
      </c>
    </row>
    <row r="5" spans="2:12" s="1" customFormat="1" ht="6.95" customHeight="1">
      <c r="B5" s="22"/>
      <c r="L5" s="22"/>
    </row>
    <row r="6" spans="2:12" s="1" customFormat="1" ht="12" customHeight="1">
      <c r="B6" s="22"/>
      <c r="D6" s="28" t="s">
        <v>15</v>
      </c>
      <c r="L6" s="22"/>
    </row>
    <row r="7" spans="2:12" s="1" customFormat="1" ht="23.25" customHeight="1">
      <c r="B7" s="22"/>
      <c r="E7" s="335" t="str">
        <f>'Rekapitulace stavby'!K6</f>
        <v>Rekonstrukce lékařských pokojů, skladových a technických prostor Nemocnice Nymburk s.r.o.</v>
      </c>
      <c r="F7" s="336"/>
      <c r="G7" s="336"/>
      <c r="H7" s="336"/>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5" t="s">
        <v>1166</v>
      </c>
      <c r="F9" s="334"/>
      <c r="G9" s="334"/>
      <c r="H9" s="334"/>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10" t="str">
        <f>'Rekapitulace stavby'!E14</f>
        <v xml:space="preserve"> </v>
      </c>
      <c r="F18" s="310"/>
      <c r="G18" s="310"/>
      <c r="H18" s="310"/>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12" t="s">
        <v>40</v>
      </c>
      <c r="F27" s="312"/>
      <c r="G27" s="312"/>
      <c r="H27" s="312"/>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ROUND(J91,2)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45</v>
      </c>
      <c r="E33" s="28" t="s">
        <v>46</v>
      </c>
      <c r="F33" s="95">
        <f>ROUND((SUM(BE91:BE192)),2)</f>
        <v>0</v>
      </c>
      <c r="G33" s="31"/>
      <c r="H33" s="31"/>
      <c r="I33" s="96">
        <v>0.21</v>
      </c>
      <c r="J33" s="95">
        <f>ROUND(((SUM(BE91:BE192))*I33),2)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47</v>
      </c>
      <c r="F34" s="95">
        <f>ROUND((SUM(BF91:BF192)),2)</f>
        <v>0</v>
      </c>
      <c r="G34" s="31"/>
      <c r="H34" s="31"/>
      <c r="I34" s="96">
        <v>0.15</v>
      </c>
      <c r="J34" s="95">
        <f>ROUND(((SUM(BF91:BF192))*I34),2)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48</v>
      </c>
      <c r="F35" s="95">
        <f>ROUND((SUM(BG91:BG192)),2)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49</v>
      </c>
      <c r="F36" s="95">
        <f>ROUND((SUM(BH91:BH192)),2)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50</v>
      </c>
      <c r="F37" s="95">
        <f>ROUND((SUM(BI91:BI192)),2)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35" t="str">
        <f>E7</f>
        <v>Rekonstrukce lékařských pokojů, skladových a technických prostor Nemocnice Nymburk s.r.o.</v>
      </c>
      <c r="F48" s="336"/>
      <c r="G48" s="336"/>
      <c r="H48" s="336"/>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5" t="str">
        <f>E9</f>
        <v>03 - Vytápění</v>
      </c>
      <c r="F50" s="334"/>
      <c r="G50" s="334"/>
      <c r="H50" s="334"/>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73</v>
      </c>
      <c r="D59" s="31"/>
      <c r="E59" s="31"/>
      <c r="F59" s="31"/>
      <c r="G59" s="31"/>
      <c r="H59" s="31"/>
      <c r="I59" s="31"/>
      <c r="J59" s="65">
        <f>J91</f>
        <v>0</v>
      </c>
      <c r="K59" s="31"/>
      <c r="L59" s="89"/>
      <c r="S59" s="31"/>
      <c r="T59" s="31"/>
      <c r="U59" s="31"/>
      <c r="V59" s="31"/>
      <c r="W59" s="31"/>
      <c r="X59" s="31"/>
      <c r="Y59" s="31"/>
      <c r="Z59" s="31"/>
      <c r="AA59" s="31"/>
      <c r="AB59" s="31"/>
      <c r="AC59" s="31"/>
      <c r="AD59" s="31"/>
      <c r="AE59" s="31"/>
      <c r="AU59" s="19" t="s">
        <v>110</v>
      </c>
    </row>
    <row r="60" spans="2:12" s="9" customFormat="1" ht="24.95" customHeight="1">
      <c r="B60" s="106"/>
      <c r="D60" s="107" t="s">
        <v>111</v>
      </c>
      <c r="E60" s="108"/>
      <c r="F60" s="108"/>
      <c r="G60" s="108"/>
      <c r="H60" s="108"/>
      <c r="I60" s="108"/>
      <c r="J60" s="109">
        <f>J92</f>
        <v>0</v>
      </c>
      <c r="L60" s="106"/>
    </row>
    <row r="61" spans="2:12" s="10" customFormat="1" ht="19.9" customHeight="1">
      <c r="B61" s="110"/>
      <c r="D61" s="111" t="s">
        <v>112</v>
      </c>
      <c r="E61" s="112"/>
      <c r="F61" s="112"/>
      <c r="G61" s="112"/>
      <c r="H61" s="112"/>
      <c r="I61" s="112"/>
      <c r="J61" s="113">
        <f>J93</f>
        <v>0</v>
      </c>
      <c r="L61" s="110"/>
    </row>
    <row r="62" spans="2:12" s="10" customFormat="1" ht="19.9" customHeight="1">
      <c r="B62" s="110"/>
      <c r="D62" s="111" t="s">
        <v>113</v>
      </c>
      <c r="E62" s="112"/>
      <c r="F62" s="112"/>
      <c r="G62" s="112"/>
      <c r="H62" s="112"/>
      <c r="I62" s="112"/>
      <c r="J62" s="113">
        <f>J97</f>
        <v>0</v>
      </c>
      <c r="L62" s="110"/>
    </row>
    <row r="63" spans="2:12" s="10" customFormat="1" ht="19.9" customHeight="1">
      <c r="B63" s="110"/>
      <c r="D63" s="111" t="s">
        <v>114</v>
      </c>
      <c r="E63" s="112"/>
      <c r="F63" s="112"/>
      <c r="G63" s="112"/>
      <c r="H63" s="112"/>
      <c r="I63" s="112"/>
      <c r="J63" s="113">
        <f>J103</f>
        <v>0</v>
      </c>
      <c r="L63" s="110"/>
    </row>
    <row r="64" spans="2:12" s="10" customFormat="1" ht="19.9" customHeight="1">
      <c r="B64" s="110"/>
      <c r="D64" s="111" t="s">
        <v>115</v>
      </c>
      <c r="E64" s="112"/>
      <c r="F64" s="112"/>
      <c r="G64" s="112"/>
      <c r="H64" s="112"/>
      <c r="I64" s="112"/>
      <c r="J64" s="113">
        <f>J110</f>
        <v>0</v>
      </c>
      <c r="L64" s="110"/>
    </row>
    <row r="65" spans="2:12" s="10" customFormat="1" ht="19.9" customHeight="1">
      <c r="B65" s="110"/>
      <c r="D65" s="111" t="s">
        <v>116</v>
      </c>
      <c r="E65" s="112"/>
      <c r="F65" s="112"/>
      <c r="G65" s="112"/>
      <c r="H65" s="112"/>
      <c r="I65" s="112"/>
      <c r="J65" s="113">
        <f>J124</f>
        <v>0</v>
      </c>
      <c r="L65" s="110"/>
    </row>
    <row r="66" spans="2:12" s="9" customFormat="1" ht="24.95" customHeight="1">
      <c r="B66" s="106"/>
      <c r="D66" s="107" t="s">
        <v>117</v>
      </c>
      <c r="E66" s="108"/>
      <c r="F66" s="108"/>
      <c r="G66" s="108"/>
      <c r="H66" s="108"/>
      <c r="I66" s="108"/>
      <c r="J66" s="109">
        <f>J127</f>
        <v>0</v>
      </c>
      <c r="L66" s="106"/>
    </row>
    <row r="67" spans="2:12" s="10" customFormat="1" ht="19.9" customHeight="1">
      <c r="B67" s="110"/>
      <c r="D67" s="111" t="s">
        <v>1167</v>
      </c>
      <c r="E67" s="112"/>
      <c r="F67" s="112"/>
      <c r="G67" s="112"/>
      <c r="H67" s="112"/>
      <c r="I67" s="112"/>
      <c r="J67" s="113">
        <f>J128</f>
        <v>0</v>
      </c>
      <c r="L67" s="110"/>
    </row>
    <row r="68" spans="2:12" s="10" customFormat="1" ht="19.9" customHeight="1">
      <c r="B68" s="110"/>
      <c r="D68" s="111" t="s">
        <v>1168</v>
      </c>
      <c r="E68" s="112"/>
      <c r="F68" s="112"/>
      <c r="G68" s="112"/>
      <c r="H68" s="112"/>
      <c r="I68" s="112"/>
      <c r="J68" s="113">
        <f>J141</f>
        <v>0</v>
      </c>
      <c r="L68" s="110"/>
    </row>
    <row r="69" spans="2:12" s="10" customFormat="1" ht="19.9" customHeight="1">
      <c r="B69" s="110"/>
      <c r="D69" s="111" t="s">
        <v>1169</v>
      </c>
      <c r="E69" s="112"/>
      <c r="F69" s="112"/>
      <c r="G69" s="112"/>
      <c r="H69" s="112"/>
      <c r="I69" s="112"/>
      <c r="J69" s="113">
        <f>J153</f>
        <v>0</v>
      </c>
      <c r="L69" s="110"/>
    </row>
    <row r="70" spans="2:12" s="10" customFormat="1" ht="19.9" customHeight="1">
      <c r="B70" s="110"/>
      <c r="D70" s="111" t="s">
        <v>126</v>
      </c>
      <c r="E70" s="112"/>
      <c r="F70" s="112"/>
      <c r="G70" s="112"/>
      <c r="H70" s="112"/>
      <c r="I70" s="112"/>
      <c r="J70" s="113">
        <f>J182</f>
        <v>0</v>
      </c>
      <c r="L70" s="110"/>
    </row>
    <row r="71" spans="2:12" s="9" customFormat="1" ht="24.95" customHeight="1">
      <c r="B71" s="106"/>
      <c r="D71" s="107" t="s">
        <v>878</v>
      </c>
      <c r="E71" s="108"/>
      <c r="F71" s="108"/>
      <c r="G71" s="108"/>
      <c r="H71" s="108"/>
      <c r="I71" s="108"/>
      <c r="J71" s="109">
        <f>J186</f>
        <v>0</v>
      </c>
      <c r="L71" s="106"/>
    </row>
    <row r="72" spans="1:31" s="2" customFormat="1" ht="21.75" customHeight="1">
      <c r="A72" s="31"/>
      <c r="B72" s="32"/>
      <c r="C72" s="31"/>
      <c r="D72" s="31"/>
      <c r="E72" s="31"/>
      <c r="F72" s="31"/>
      <c r="G72" s="31"/>
      <c r="H72" s="31"/>
      <c r="I72" s="31"/>
      <c r="J72" s="31"/>
      <c r="K72" s="31"/>
      <c r="L72" s="89"/>
      <c r="S72" s="31"/>
      <c r="T72" s="31"/>
      <c r="U72" s="31"/>
      <c r="V72" s="31"/>
      <c r="W72" s="31"/>
      <c r="X72" s="31"/>
      <c r="Y72" s="31"/>
      <c r="Z72" s="31"/>
      <c r="AA72" s="31"/>
      <c r="AB72" s="31"/>
      <c r="AC72" s="31"/>
      <c r="AD72" s="31"/>
      <c r="AE72" s="31"/>
    </row>
    <row r="73" spans="1:31" s="2" customFormat="1" ht="6.95" customHeight="1">
      <c r="A73" s="31"/>
      <c r="B73" s="41"/>
      <c r="C73" s="42"/>
      <c r="D73" s="42"/>
      <c r="E73" s="42"/>
      <c r="F73" s="42"/>
      <c r="G73" s="42"/>
      <c r="H73" s="42"/>
      <c r="I73" s="42"/>
      <c r="J73" s="42"/>
      <c r="K73" s="42"/>
      <c r="L73" s="89"/>
      <c r="S73" s="31"/>
      <c r="T73" s="31"/>
      <c r="U73" s="31"/>
      <c r="V73" s="31"/>
      <c r="W73" s="31"/>
      <c r="X73" s="31"/>
      <c r="Y73" s="31"/>
      <c r="Z73" s="31"/>
      <c r="AA73" s="31"/>
      <c r="AB73" s="31"/>
      <c r="AC73" s="31"/>
      <c r="AD73" s="31"/>
      <c r="AE73" s="31"/>
    </row>
    <row r="77" spans="1:31" s="2" customFormat="1" ht="6.95" customHeight="1">
      <c r="A77" s="31"/>
      <c r="B77" s="43"/>
      <c r="C77" s="44"/>
      <c r="D77" s="44"/>
      <c r="E77" s="44"/>
      <c r="F77" s="44"/>
      <c r="G77" s="44"/>
      <c r="H77" s="44"/>
      <c r="I77" s="44"/>
      <c r="J77" s="44"/>
      <c r="K77" s="44"/>
      <c r="L77" s="89"/>
      <c r="S77" s="31"/>
      <c r="T77" s="31"/>
      <c r="U77" s="31"/>
      <c r="V77" s="31"/>
      <c r="W77" s="31"/>
      <c r="X77" s="31"/>
      <c r="Y77" s="31"/>
      <c r="Z77" s="31"/>
      <c r="AA77" s="31"/>
      <c r="AB77" s="31"/>
      <c r="AC77" s="31"/>
      <c r="AD77" s="31"/>
      <c r="AE77" s="31"/>
    </row>
    <row r="78" spans="1:31" s="2" customFormat="1" ht="24.95" customHeight="1">
      <c r="A78" s="31"/>
      <c r="B78" s="32"/>
      <c r="C78" s="23" t="s">
        <v>129</v>
      </c>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6.95" customHeight="1">
      <c r="A79" s="31"/>
      <c r="B79" s="32"/>
      <c r="C79" s="31"/>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12" customHeight="1">
      <c r="A80" s="31"/>
      <c r="B80" s="32"/>
      <c r="C80" s="28" t="s">
        <v>15</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23.25" customHeight="1">
      <c r="A81" s="31"/>
      <c r="B81" s="32"/>
      <c r="C81" s="31"/>
      <c r="D81" s="31"/>
      <c r="E81" s="335" t="str">
        <f>E7</f>
        <v>Rekonstrukce lékařských pokojů, skladových a technických prostor Nemocnice Nymburk s.r.o.</v>
      </c>
      <c r="F81" s="336"/>
      <c r="G81" s="336"/>
      <c r="H81" s="336"/>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105</v>
      </c>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6.5" customHeight="1">
      <c r="A83" s="31"/>
      <c r="B83" s="32"/>
      <c r="C83" s="31"/>
      <c r="D83" s="31"/>
      <c r="E83" s="325" t="str">
        <f>E9</f>
        <v>03 - Vytápění</v>
      </c>
      <c r="F83" s="334"/>
      <c r="G83" s="334"/>
      <c r="H83" s="334"/>
      <c r="I83" s="31"/>
      <c r="J83" s="31"/>
      <c r="K83" s="31"/>
      <c r="L83" s="89"/>
      <c r="S83" s="31"/>
      <c r="T83" s="31"/>
      <c r="U83" s="31"/>
      <c r="V83" s="31"/>
      <c r="W83" s="31"/>
      <c r="X83" s="31"/>
      <c r="Y83" s="31"/>
      <c r="Z83" s="31"/>
      <c r="AA83" s="31"/>
      <c r="AB83" s="31"/>
      <c r="AC83" s="31"/>
      <c r="AD83" s="31"/>
      <c r="AE83" s="31"/>
    </row>
    <row r="84" spans="1:31" s="2" customFormat="1" ht="6.95" customHeight="1">
      <c r="A84" s="31"/>
      <c r="B84" s="32"/>
      <c r="C84" s="31"/>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12" customHeight="1">
      <c r="A85" s="31"/>
      <c r="B85" s="32"/>
      <c r="C85" s="28" t="s">
        <v>21</v>
      </c>
      <c r="D85" s="31"/>
      <c r="E85" s="31"/>
      <c r="F85" s="26" t="str">
        <f>F12</f>
        <v>Nymburk</v>
      </c>
      <c r="G85" s="31"/>
      <c r="H85" s="31"/>
      <c r="I85" s="28" t="s">
        <v>23</v>
      </c>
      <c r="J85" s="49" t="str">
        <f>IF(J12="","",J12)</f>
        <v>1. 9. 2020</v>
      </c>
      <c r="K85" s="31"/>
      <c r="L85" s="89"/>
      <c r="S85" s="31"/>
      <c r="T85" s="31"/>
      <c r="U85" s="31"/>
      <c r="V85" s="31"/>
      <c r="W85" s="31"/>
      <c r="X85" s="31"/>
      <c r="Y85" s="31"/>
      <c r="Z85" s="31"/>
      <c r="AA85" s="31"/>
      <c r="AB85" s="31"/>
      <c r="AC85" s="31"/>
      <c r="AD85" s="31"/>
      <c r="AE85" s="31"/>
    </row>
    <row r="86" spans="1:31" s="2" customFormat="1" ht="6.95"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2" customFormat="1" ht="25.7" customHeight="1">
      <c r="A87" s="31"/>
      <c r="B87" s="32"/>
      <c r="C87" s="28" t="s">
        <v>25</v>
      </c>
      <c r="D87" s="31"/>
      <c r="E87" s="31"/>
      <c r="F87" s="26" t="str">
        <f>E15</f>
        <v>Nemocnice Nymburk s.r.o.</v>
      </c>
      <c r="G87" s="31"/>
      <c r="H87" s="31"/>
      <c r="I87" s="28" t="s">
        <v>33</v>
      </c>
      <c r="J87" s="29" t="str">
        <f>E21</f>
        <v>Ing. arch. Pavel Petrák</v>
      </c>
      <c r="K87" s="31"/>
      <c r="L87" s="89"/>
      <c r="S87" s="31"/>
      <c r="T87" s="31"/>
      <c r="U87" s="31"/>
      <c r="V87" s="31"/>
      <c r="W87" s="31"/>
      <c r="X87" s="31"/>
      <c r="Y87" s="31"/>
      <c r="Z87" s="31"/>
      <c r="AA87" s="31"/>
      <c r="AB87" s="31"/>
      <c r="AC87" s="31"/>
      <c r="AD87" s="31"/>
      <c r="AE87" s="31"/>
    </row>
    <row r="88" spans="1:31" s="2" customFormat="1" ht="15.2" customHeight="1">
      <c r="A88" s="31"/>
      <c r="B88" s="32"/>
      <c r="C88" s="28" t="s">
        <v>31</v>
      </c>
      <c r="D88" s="31"/>
      <c r="E88" s="31"/>
      <c r="F88" s="26" t="str">
        <f>IF(E18="","",E18)</f>
        <v xml:space="preserve"> </v>
      </c>
      <c r="G88" s="31"/>
      <c r="H88" s="31"/>
      <c r="I88" s="28" t="s">
        <v>38</v>
      </c>
      <c r="J88" s="29" t="str">
        <f>E24</f>
        <v xml:space="preserve"> </v>
      </c>
      <c r="K88" s="31"/>
      <c r="L88" s="89"/>
      <c r="S88" s="31"/>
      <c r="T88" s="31"/>
      <c r="U88" s="31"/>
      <c r="V88" s="31"/>
      <c r="W88" s="31"/>
      <c r="X88" s="31"/>
      <c r="Y88" s="31"/>
      <c r="Z88" s="31"/>
      <c r="AA88" s="31"/>
      <c r="AB88" s="31"/>
      <c r="AC88" s="31"/>
      <c r="AD88" s="31"/>
      <c r="AE88" s="31"/>
    </row>
    <row r="89" spans="1:31" s="2" customFormat="1" ht="10.35" customHeight="1">
      <c r="A89" s="31"/>
      <c r="B89" s="32"/>
      <c r="C89" s="31"/>
      <c r="D89" s="31"/>
      <c r="E89" s="31"/>
      <c r="F89" s="31"/>
      <c r="G89" s="31"/>
      <c r="H89" s="31"/>
      <c r="I89" s="31"/>
      <c r="J89" s="31"/>
      <c r="K89" s="31"/>
      <c r="L89" s="89"/>
      <c r="S89" s="31"/>
      <c r="T89" s="31"/>
      <c r="U89" s="31"/>
      <c r="V89" s="31"/>
      <c r="W89" s="31"/>
      <c r="X89" s="31"/>
      <c r="Y89" s="31"/>
      <c r="Z89" s="31"/>
      <c r="AA89" s="31"/>
      <c r="AB89" s="31"/>
      <c r="AC89" s="31"/>
      <c r="AD89" s="31"/>
      <c r="AE89" s="31"/>
    </row>
    <row r="90" spans="1:31" s="11" customFormat="1" ht="29.25" customHeight="1">
      <c r="A90" s="114"/>
      <c r="B90" s="115"/>
      <c r="C90" s="116" t="s">
        <v>130</v>
      </c>
      <c r="D90" s="117" t="s">
        <v>60</v>
      </c>
      <c r="E90" s="117" t="s">
        <v>56</v>
      </c>
      <c r="F90" s="117" t="s">
        <v>57</v>
      </c>
      <c r="G90" s="117" t="s">
        <v>131</v>
      </c>
      <c r="H90" s="117" t="s">
        <v>132</v>
      </c>
      <c r="I90" s="117" t="s">
        <v>133</v>
      </c>
      <c r="J90" s="117" t="s">
        <v>109</v>
      </c>
      <c r="K90" s="118" t="s">
        <v>134</v>
      </c>
      <c r="L90" s="119"/>
      <c r="M90" s="56" t="s">
        <v>3</v>
      </c>
      <c r="N90" s="57" t="s">
        <v>45</v>
      </c>
      <c r="O90" s="57" t="s">
        <v>135</v>
      </c>
      <c r="P90" s="57" t="s">
        <v>136</v>
      </c>
      <c r="Q90" s="57" t="s">
        <v>137</v>
      </c>
      <c r="R90" s="57" t="s">
        <v>138</v>
      </c>
      <c r="S90" s="57" t="s">
        <v>139</v>
      </c>
      <c r="T90" s="58" t="s">
        <v>140</v>
      </c>
      <c r="U90" s="114"/>
      <c r="V90" s="114"/>
      <c r="W90" s="114"/>
      <c r="X90" s="114"/>
      <c r="Y90" s="114"/>
      <c r="Z90" s="114"/>
      <c r="AA90" s="114"/>
      <c r="AB90" s="114"/>
      <c r="AC90" s="114"/>
      <c r="AD90" s="114"/>
      <c r="AE90" s="114"/>
    </row>
    <row r="91" spans="1:63" s="2" customFormat="1" ht="22.9" customHeight="1">
      <c r="A91" s="31"/>
      <c r="B91" s="32"/>
      <c r="C91" s="63" t="s">
        <v>141</v>
      </c>
      <c r="D91" s="31"/>
      <c r="E91" s="31"/>
      <c r="F91" s="31"/>
      <c r="G91" s="31"/>
      <c r="H91" s="31"/>
      <c r="I91" s="31"/>
      <c r="J91" s="120">
        <f>BK91</f>
        <v>0</v>
      </c>
      <c r="K91" s="31"/>
      <c r="L91" s="32"/>
      <c r="M91" s="59"/>
      <c r="N91" s="50"/>
      <c r="O91" s="60"/>
      <c r="P91" s="121">
        <f>P92+P127+P186</f>
        <v>60.40932985714286</v>
      </c>
      <c r="Q91" s="60"/>
      <c r="R91" s="121">
        <f>R92+R127+R186</f>
        <v>0.492215</v>
      </c>
      <c r="S91" s="60"/>
      <c r="T91" s="122">
        <f>T92+T127+T186</f>
        <v>0.28800000000000003</v>
      </c>
      <c r="U91" s="31"/>
      <c r="V91" s="31"/>
      <c r="W91" s="31"/>
      <c r="X91" s="31"/>
      <c r="Y91" s="31"/>
      <c r="Z91" s="31"/>
      <c r="AA91" s="31"/>
      <c r="AB91" s="31"/>
      <c r="AC91" s="31"/>
      <c r="AD91" s="31"/>
      <c r="AE91" s="31"/>
      <c r="AT91" s="19" t="s">
        <v>74</v>
      </c>
      <c r="AU91" s="19" t="s">
        <v>110</v>
      </c>
      <c r="BK91" s="123">
        <f>BK92+BK127+BK186</f>
        <v>0</v>
      </c>
    </row>
    <row r="92" spans="2:63" s="12" customFormat="1" ht="25.9" customHeight="1">
      <c r="B92" s="124"/>
      <c r="D92" s="125" t="s">
        <v>74</v>
      </c>
      <c r="E92" s="126" t="s">
        <v>142</v>
      </c>
      <c r="F92" s="126" t="s">
        <v>143</v>
      </c>
      <c r="J92" s="127">
        <f>BK92</f>
        <v>0</v>
      </c>
      <c r="L92" s="124"/>
      <c r="M92" s="128"/>
      <c r="N92" s="129"/>
      <c r="O92" s="129"/>
      <c r="P92" s="130">
        <f>P93+P97+P103+P110+P124</f>
        <v>11.169129857142856</v>
      </c>
      <c r="Q92" s="129"/>
      <c r="R92" s="130">
        <f>R93+R97+R103+R110+R124</f>
        <v>0.11879699999999999</v>
      </c>
      <c r="S92" s="129"/>
      <c r="T92" s="131">
        <f>T93+T97+T103+T110+T124</f>
        <v>0.28800000000000003</v>
      </c>
      <c r="AR92" s="125" t="s">
        <v>83</v>
      </c>
      <c r="AT92" s="132" t="s">
        <v>74</v>
      </c>
      <c r="AU92" s="132" t="s">
        <v>75</v>
      </c>
      <c r="AY92" s="125" t="s">
        <v>144</v>
      </c>
      <c r="BK92" s="133">
        <f>BK93+BK97+BK103+BK110+BK124</f>
        <v>0</v>
      </c>
    </row>
    <row r="93" spans="2:63" s="12" customFormat="1" ht="22.9" customHeight="1">
      <c r="B93" s="124"/>
      <c r="D93" s="125" t="s">
        <v>74</v>
      </c>
      <c r="E93" s="134" t="s">
        <v>145</v>
      </c>
      <c r="F93" s="134" t="s">
        <v>146</v>
      </c>
      <c r="J93" s="135">
        <f>BK93</f>
        <v>0</v>
      </c>
      <c r="L93" s="124"/>
      <c r="M93" s="128"/>
      <c r="N93" s="129"/>
      <c r="O93" s="129"/>
      <c r="P93" s="130">
        <f>SUM(P94:P96)</f>
        <v>0.585</v>
      </c>
      <c r="Q93" s="129"/>
      <c r="R93" s="130">
        <f>SUM(R94:R96)</f>
        <v>0.03786</v>
      </c>
      <c r="S93" s="129"/>
      <c r="T93" s="131">
        <f>SUM(T94:T96)</f>
        <v>0</v>
      </c>
      <c r="AR93" s="125" t="s">
        <v>83</v>
      </c>
      <c r="AT93" s="132" t="s">
        <v>74</v>
      </c>
      <c r="AU93" s="132" t="s">
        <v>83</v>
      </c>
      <c r="AY93" s="125" t="s">
        <v>144</v>
      </c>
      <c r="BK93" s="133">
        <f>SUM(BK94:BK96)</f>
        <v>0</v>
      </c>
    </row>
    <row r="94" spans="1:65" s="2" customFormat="1" ht="24.2" customHeight="1">
      <c r="A94" s="31"/>
      <c r="B94" s="136"/>
      <c r="C94" s="137" t="s">
        <v>83</v>
      </c>
      <c r="D94" s="137" t="s">
        <v>147</v>
      </c>
      <c r="E94" s="138" t="s">
        <v>881</v>
      </c>
      <c r="F94" s="139" t="s">
        <v>882</v>
      </c>
      <c r="G94" s="140" t="s">
        <v>156</v>
      </c>
      <c r="H94" s="141">
        <f>H96</f>
        <v>3</v>
      </c>
      <c r="I94" s="142"/>
      <c r="J94" s="142">
        <f>ROUND(I94*H94,2)</f>
        <v>0</v>
      </c>
      <c r="K94" s="139" t="s">
        <v>157</v>
      </c>
      <c r="L94" s="32"/>
      <c r="M94" s="143" t="s">
        <v>3</v>
      </c>
      <c r="N94" s="144" t="s">
        <v>46</v>
      </c>
      <c r="O94" s="145">
        <v>0.195</v>
      </c>
      <c r="P94" s="145">
        <f>O94*H94</f>
        <v>0.585</v>
      </c>
      <c r="Q94" s="145">
        <v>0.01262</v>
      </c>
      <c r="R94" s="145">
        <f>Q94*H94</f>
        <v>0.03786</v>
      </c>
      <c r="S94" s="145">
        <v>0</v>
      </c>
      <c r="T94" s="146">
        <f>S94*H94</f>
        <v>0</v>
      </c>
      <c r="U94" s="31"/>
      <c r="V94" s="31"/>
      <c r="W94" s="31"/>
      <c r="X94" s="31"/>
      <c r="Y94" s="31"/>
      <c r="Z94" s="31"/>
      <c r="AA94" s="31"/>
      <c r="AB94" s="31"/>
      <c r="AC94" s="31"/>
      <c r="AD94" s="31"/>
      <c r="AE94" s="31"/>
      <c r="AR94" s="147" t="s">
        <v>152</v>
      </c>
      <c r="AT94" s="147" t="s">
        <v>147</v>
      </c>
      <c r="AU94" s="147" t="s">
        <v>85</v>
      </c>
      <c r="AY94" s="19" t="s">
        <v>144</v>
      </c>
      <c r="BE94" s="148">
        <f>IF(N94="základní",J94,0)</f>
        <v>0</v>
      </c>
      <c r="BF94" s="148">
        <f>IF(N94="snížená",J94,0)</f>
        <v>0</v>
      </c>
      <c r="BG94" s="148">
        <f>IF(N94="zákl. přenesená",J94,0)</f>
        <v>0</v>
      </c>
      <c r="BH94" s="148">
        <f>IF(N94="sníž. přenesená",J94,0)</f>
        <v>0</v>
      </c>
      <c r="BI94" s="148">
        <f>IF(N94="nulová",J94,0)</f>
        <v>0</v>
      </c>
      <c r="BJ94" s="19" t="s">
        <v>83</v>
      </c>
      <c r="BK94" s="148">
        <f>ROUND(I94*H94,2)</f>
        <v>0</v>
      </c>
      <c r="BL94" s="19" t="s">
        <v>152</v>
      </c>
      <c r="BM94" s="147" t="s">
        <v>1170</v>
      </c>
    </row>
    <row r="95" spans="2:51" s="13" customFormat="1" ht="12">
      <c r="B95" s="149"/>
      <c r="D95" s="150" t="s">
        <v>154</v>
      </c>
      <c r="E95" s="151" t="s">
        <v>3</v>
      </c>
      <c r="F95" s="152" t="s">
        <v>216</v>
      </c>
      <c r="H95" s="151" t="s">
        <v>3</v>
      </c>
      <c r="L95" s="149"/>
      <c r="M95" s="153"/>
      <c r="N95" s="154"/>
      <c r="O95" s="154"/>
      <c r="P95" s="154"/>
      <c r="Q95" s="154"/>
      <c r="R95" s="154"/>
      <c r="S95" s="154"/>
      <c r="T95" s="155"/>
      <c r="AT95" s="151" t="s">
        <v>154</v>
      </c>
      <c r="AU95" s="151" t="s">
        <v>85</v>
      </c>
      <c r="AV95" s="13" t="s">
        <v>83</v>
      </c>
      <c r="AW95" s="13" t="s">
        <v>37</v>
      </c>
      <c r="AX95" s="13" t="s">
        <v>75</v>
      </c>
      <c r="AY95" s="151" t="s">
        <v>144</v>
      </c>
    </row>
    <row r="96" spans="2:51" s="14" customFormat="1" ht="12">
      <c r="B96" s="156"/>
      <c r="D96" s="150" t="s">
        <v>154</v>
      </c>
      <c r="E96" s="157" t="s">
        <v>3</v>
      </c>
      <c r="F96" s="158">
        <f>F106</f>
        <v>3</v>
      </c>
      <c r="H96" s="159">
        <f>H106</f>
        <v>3</v>
      </c>
      <c r="L96" s="156"/>
      <c r="M96" s="160"/>
      <c r="N96" s="161"/>
      <c r="O96" s="161"/>
      <c r="P96" s="161"/>
      <c r="Q96" s="161"/>
      <c r="R96" s="161"/>
      <c r="S96" s="161"/>
      <c r="T96" s="162"/>
      <c r="AT96" s="157" t="s">
        <v>154</v>
      </c>
      <c r="AU96" s="157" t="s">
        <v>85</v>
      </c>
      <c r="AV96" s="14" t="s">
        <v>85</v>
      </c>
      <c r="AW96" s="14" t="s">
        <v>37</v>
      </c>
      <c r="AX96" s="14" t="s">
        <v>83</v>
      </c>
      <c r="AY96" s="157" t="s">
        <v>144</v>
      </c>
    </row>
    <row r="97" spans="2:63" s="12" customFormat="1" ht="22.9" customHeight="1">
      <c r="B97" s="124"/>
      <c r="D97" s="125" t="s">
        <v>74</v>
      </c>
      <c r="E97" s="134" t="s">
        <v>179</v>
      </c>
      <c r="F97" s="134" t="s">
        <v>217</v>
      </c>
      <c r="J97" s="135">
        <f>BK97</f>
        <v>0</v>
      </c>
      <c r="L97" s="124"/>
      <c r="M97" s="128"/>
      <c r="N97" s="129"/>
      <c r="O97" s="129"/>
      <c r="P97" s="130">
        <f>SUM(P98:P102)</f>
        <v>2.1942</v>
      </c>
      <c r="Q97" s="129"/>
      <c r="R97" s="130">
        <f>SUM(R98:R102)</f>
        <v>0.080937</v>
      </c>
      <c r="S97" s="129"/>
      <c r="T97" s="131">
        <f>SUM(T98:T102)</f>
        <v>0</v>
      </c>
      <c r="AR97" s="125" t="s">
        <v>83</v>
      </c>
      <c r="AT97" s="132" t="s">
        <v>74</v>
      </c>
      <c r="AU97" s="132" t="s">
        <v>83</v>
      </c>
      <c r="AY97" s="125" t="s">
        <v>144</v>
      </c>
      <c r="BK97" s="133">
        <f>SUM(BK98:BK102)</f>
        <v>0</v>
      </c>
    </row>
    <row r="98" spans="1:65" s="2" customFormat="1" ht="14.45" customHeight="1">
      <c r="A98" s="31"/>
      <c r="B98" s="136"/>
      <c r="C98" s="137">
        <v>2</v>
      </c>
      <c r="D98" s="137" t="s">
        <v>147</v>
      </c>
      <c r="E98" s="138" t="s">
        <v>902</v>
      </c>
      <c r="F98" s="139" t="s">
        <v>903</v>
      </c>
      <c r="G98" s="140" t="s">
        <v>183</v>
      </c>
      <c r="H98" s="141">
        <f>H101</f>
        <v>1.035</v>
      </c>
      <c r="I98" s="142"/>
      <c r="J98" s="142">
        <f>ROUND(I98*H98,2)</f>
        <v>0</v>
      </c>
      <c r="K98" s="139" t="s">
        <v>157</v>
      </c>
      <c r="L98" s="32"/>
      <c r="M98" s="143" t="s">
        <v>3</v>
      </c>
      <c r="N98" s="144" t="s">
        <v>46</v>
      </c>
      <c r="O98" s="145">
        <v>0.624</v>
      </c>
      <c r="P98" s="145">
        <f>O98*H98</f>
        <v>0.64584</v>
      </c>
      <c r="Q98" s="145">
        <v>0.04</v>
      </c>
      <c r="R98" s="145">
        <f>Q98*H98</f>
        <v>0.0414</v>
      </c>
      <c r="S98" s="145">
        <v>0</v>
      </c>
      <c r="T98" s="146">
        <f>S98*H98</f>
        <v>0</v>
      </c>
      <c r="U98" s="31"/>
      <c r="V98" s="31"/>
      <c r="W98" s="31"/>
      <c r="X98" s="31"/>
      <c r="Y98" s="31"/>
      <c r="Z98" s="31"/>
      <c r="AA98" s="31"/>
      <c r="AB98" s="31"/>
      <c r="AC98" s="31"/>
      <c r="AD98" s="31"/>
      <c r="AE98" s="31"/>
      <c r="AR98" s="147" t="s">
        <v>152</v>
      </c>
      <c r="AT98" s="147" t="s">
        <v>147</v>
      </c>
      <c r="AU98" s="147" t="s">
        <v>85</v>
      </c>
      <c r="AY98" s="19" t="s">
        <v>144</v>
      </c>
      <c r="BE98" s="148">
        <f>IF(N98="základní",J98,0)</f>
        <v>0</v>
      </c>
      <c r="BF98" s="148">
        <f>IF(N98="snížená",J98,0)</f>
        <v>0</v>
      </c>
      <c r="BG98" s="148">
        <f>IF(N98="zákl. přenesená",J98,0)</f>
        <v>0</v>
      </c>
      <c r="BH98" s="148">
        <f>IF(N98="sníž. přenesená",J98,0)</f>
        <v>0</v>
      </c>
      <c r="BI98" s="148">
        <f>IF(N98="nulová",J98,0)</f>
        <v>0</v>
      </c>
      <c r="BJ98" s="19" t="s">
        <v>83</v>
      </c>
      <c r="BK98" s="148">
        <f>ROUND(I98*H98,2)</f>
        <v>0</v>
      </c>
      <c r="BL98" s="19" t="s">
        <v>152</v>
      </c>
      <c r="BM98" s="147" t="s">
        <v>904</v>
      </c>
    </row>
    <row r="99" spans="1:47" s="2" customFormat="1" ht="39">
      <c r="A99" s="31"/>
      <c r="B99" s="32"/>
      <c r="C99" s="31"/>
      <c r="D99" s="150" t="s">
        <v>158</v>
      </c>
      <c r="E99" s="31"/>
      <c r="F99" s="163" t="s">
        <v>905</v>
      </c>
      <c r="G99" s="31"/>
      <c r="H99" s="31"/>
      <c r="I99" s="31"/>
      <c r="J99" s="31"/>
      <c r="K99" s="31"/>
      <c r="L99" s="32"/>
      <c r="M99" s="164"/>
      <c r="N99" s="165"/>
      <c r="O99" s="52"/>
      <c r="P99" s="52"/>
      <c r="Q99" s="52"/>
      <c r="R99" s="52"/>
      <c r="S99" s="52"/>
      <c r="T99" s="53"/>
      <c r="U99" s="31"/>
      <c r="V99" s="31"/>
      <c r="W99" s="31"/>
      <c r="X99" s="31"/>
      <c r="Y99" s="31"/>
      <c r="Z99" s="31"/>
      <c r="AA99" s="31"/>
      <c r="AB99" s="31"/>
      <c r="AC99" s="31"/>
      <c r="AD99" s="31"/>
      <c r="AE99" s="31"/>
      <c r="AT99" s="19" t="s">
        <v>158</v>
      </c>
      <c r="AU99" s="19" t="s">
        <v>85</v>
      </c>
    </row>
    <row r="100" spans="2:51" s="13" customFormat="1" ht="12">
      <c r="B100" s="149"/>
      <c r="D100" s="150" t="s">
        <v>154</v>
      </c>
      <c r="E100" s="151" t="s">
        <v>3</v>
      </c>
      <c r="F100" s="152" t="s">
        <v>1171</v>
      </c>
      <c r="H100" s="151" t="s">
        <v>3</v>
      </c>
      <c r="L100" s="149"/>
      <c r="M100" s="153"/>
      <c r="N100" s="154"/>
      <c r="O100" s="154"/>
      <c r="P100" s="154"/>
      <c r="Q100" s="154"/>
      <c r="R100" s="154"/>
      <c r="S100" s="154"/>
      <c r="T100" s="155"/>
      <c r="AT100" s="151" t="s">
        <v>154</v>
      </c>
      <c r="AU100" s="151" t="s">
        <v>85</v>
      </c>
      <c r="AV100" s="13" t="s">
        <v>83</v>
      </c>
      <c r="AW100" s="13" t="s">
        <v>37</v>
      </c>
      <c r="AX100" s="13" t="s">
        <v>75</v>
      </c>
      <c r="AY100" s="151" t="s">
        <v>144</v>
      </c>
    </row>
    <row r="101" spans="2:51" s="14" customFormat="1" ht="12">
      <c r="B101" s="156"/>
      <c r="D101" s="150" t="s">
        <v>154</v>
      </c>
      <c r="E101" s="157" t="s">
        <v>3</v>
      </c>
      <c r="F101" s="158" t="s">
        <v>1780</v>
      </c>
      <c r="H101" s="159">
        <f>H107*0.15</f>
        <v>1.035</v>
      </c>
      <c r="L101" s="156"/>
      <c r="M101" s="160"/>
      <c r="N101" s="161"/>
      <c r="O101" s="161"/>
      <c r="P101" s="161"/>
      <c r="Q101" s="161"/>
      <c r="R101" s="161"/>
      <c r="S101" s="161"/>
      <c r="T101" s="162"/>
      <c r="AT101" s="157" t="s">
        <v>154</v>
      </c>
      <c r="AU101" s="157" t="s">
        <v>85</v>
      </c>
      <c r="AV101" s="14" t="s">
        <v>85</v>
      </c>
      <c r="AW101" s="14" t="s">
        <v>37</v>
      </c>
      <c r="AX101" s="14" t="s">
        <v>83</v>
      </c>
      <c r="AY101" s="157" t="s">
        <v>144</v>
      </c>
    </row>
    <row r="102" spans="1:65" s="2" customFormat="1" ht="24.2" customHeight="1">
      <c r="A102" s="31"/>
      <c r="B102" s="136"/>
      <c r="C102" s="137">
        <v>3</v>
      </c>
      <c r="D102" s="137" t="s">
        <v>147</v>
      </c>
      <c r="E102" s="138" t="s">
        <v>906</v>
      </c>
      <c r="F102" s="139" t="s">
        <v>907</v>
      </c>
      <c r="G102" s="140" t="s">
        <v>183</v>
      </c>
      <c r="H102" s="141">
        <f>H98</f>
        <v>1.035</v>
      </c>
      <c r="I102" s="142"/>
      <c r="J102" s="142">
        <f>ROUND(I102*H102,2)</f>
        <v>0</v>
      </c>
      <c r="K102" s="139" t="s">
        <v>157</v>
      </c>
      <c r="L102" s="32"/>
      <c r="M102" s="143" t="s">
        <v>3</v>
      </c>
      <c r="N102" s="144" t="s">
        <v>46</v>
      </c>
      <c r="O102" s="145">
        <v>1.496</v>
      </c>
      <c r="P102" s="145">
        <f>O102*H102</f>
        <v>1.54836</v>
      </c>
      <c r="Q102" s="145">
        <v>0.0382</v>
      </c>
      <c r="R102" s="145">
        <f>Q102*H102</f>
        <v>0.039536999999999996</v>
      </c>
      <c r="S102" s="145">
        <v>0</v>
      </c>
      <c r="T102" s="146">
        <f>S102*H102</f>
        <v>0</v>
      </c>
      <c r="U102" s="31"/>
      <c r="V102" s="31"/>
      <c r="W102" s="31"/>
      <c r="X102" s="31"/>
      <c r="Y102" s="31"/>
      <c r="Z102" s="31"/>
      <c r="AA102" s="31"/>
      <c r="AB102" s="31"/>
      <c r="AC102" s="31"/>
      <c r="AD102" s="31"/>
      <c r="AE102" s="31"/>
      <c r="AR102" s="147" t="s">
        <v>152</v>
      </c>
      <c r="AT102" s="147" t="s">
        <v>147</v>
      </c>
      <c r="AU102" s="147" t="s">
        <v>85</v>
      </c>
      <c r="AY102" s="19" t="s">
        <v>144</v>
      </c>
      <c r="BE102" s="148">
        <f>IF(N102="základní",J102,0)</f>
        <v>0</v>
      </c>
      <c r="BF102" s="148">
        <f>IF(N102="snížená",J102,0)</f>
        <v>0</v>
      </c>
      <c r="BG102" s="148">
        <f>IF(N102="zákl. přenesená",J102,0)</f>
        <v>0</v>
      </c>
      <c r="BH102" s="148">
        <f>IF(N102="sníž. přenesená",J102,0)</f>
        <v>0</v>
      </c>
      <c r="BI102" s="148">
        <f>IF(N102="nulová",J102,0)</f>
        <v>0</v>
      </c>
      <c r="BJ102" s="19" t="s">
        <v>83</v>
      </c>
      <c r="BK102" s="148">
        <f>ROUND(I102*H102,2)</f>
        <v>0</v>
      </c>
      <c r="BL102" s="19" t="s">
        <v>152</v>
      </c>
      <c r="BM102" s="147" t="s">
        <v>908</v>
      </c>
    </row>
    <row r="103" spans="2:63" s="12" customFormat="1" ht="22.9" customHeight="1">
      <c r="B103" s="124"/>
      <c r="D103" s="125" t="s">
        <v>74</v>
      </c>
      <c r="E103" s="134" t="s">
        <v>188</v>
      </c>
      <c r="F103" s="134" t="s">
        <v>278</v>
      </c>
      <c r="J103" s="135">
        <f>BK103</f>
        <v>0</v>
      </c>
      <c r="L103" s="124"/>
      <c r="M103" s="128"/>
      <c r="N103" s="129"/>
      <c r="O103" s="129"/>
      <c r="P103" s="130">
        <f>SUM(P104:P109)</f>
        <v>5.0892</v>
      </c>
      <c r="Q103" s="129"/>
      <c r="R103" s="130">
        <f>SUM(R104:R109)</f>
        <v>0</v>
      </c>
      <c r="S103" s="129"/>
      <c r="T103" s="131">
        <f>SUM(T104:T109)</f>
        <v>0.28800000000000003</v>
      </c>
      <c r="AR103" s="125" t="s">
        <v>83</v>
      </c>
      <c r="AT103" s="132" t="s">
        <v>74</v>
      </c>
      <c r="AU103" s="132" t="s">
        <v>83</v>
      </c>
      <c r="AY103" s="125" t="s">
        <v>144</v>
      </c>
      <c r="BK103" s="133">
        <f>SUM(BK104:BK109)</f>
        <v>0</v>
      </c>
    </row>
    <row r="104" spans="1:65" s="2" customFormat="1" ht="49.15" customHeight="1">
      <c r="A104" s="31"/>
      <c r="B104" s="136"/>
      <c r="C104" s="137">
        <v>4</v>
      </c>
      <c r="D104" s="137" t="s">
        <v>147</v>
      </c>
      <c r="E104" s="138" t="s">
        <v>934</v>
      </c>
      <c r="F104" s="139" t="s">
        <v>935</v>
      </c>
      <c r="G104" s="140" t="s">
        <v>156</v>
      </c>
      <c r="H104" s="141">
        <v>3</v>
      </c>
      <c r="I104" s="142"/>
      <c r="J104" s="142">
        <f>ROUND(I104*H104,2)</f>
        <v>0</v>
      </c>
      <c r="K104" s="139" t="s">
        <v>157</v>
      </c>
      <c r="L104" s="32"/>
      <c r="M104" s="143" t="s">
        <v>3</v>
      </c>
      <c r="N104" s="144" t="s">
        <v>46</v>
      </c>
      <c r="O104" s="145">
        <v>0.16</v>
      </c>
      <c r="P104" s="145">
        <f>O104*H104</f>
        <v>0.48</v>
      </c>
      <c r="Q104" s="145">
        <v>0</v>
      </c>
      <c r="R104" s="145">
        <f>Q104*H104</f>
        <v>0</v>
      </c>
      <c r="S104" s="145">
        <v>0.004</v>
      </c>
      <c r="T104" s="146">
        <f>S104*H104</f>
        <v>0.012</v>
      </c>
      <c r="U104" s="31"/>
      <c r="V104" s="31"/>
      <c r="W104" s="31"/>
      <c r="X104" s="31"/>
      <c r="Y104" s="31"/>
      <c r="Z104" s="31"/>
      <c r="AA104" s="31"/>
      <c r="AB104" s="31"/>
      <c r="AC104" s="31"/>
      <c r="AD104" s="31"/>
      <c r="AE104" s="31"/>
      <c r="AR104" s="147" t="s">
        <v>152</v>
      </c>
      <c r="AT104" s="147" t="s">
        <v>147</v>
      </c>
      <c r="AU104" s="147" t="s">
        <v>85</v>
      </c>
      <c r="AY104" s="19" t="s">
        <v>144</v>
      </c>
      <c r="BE104" s="148">
        <f>IF(N104="základní",J104,0)</f>
        <v>0</v>
      </c>
      <c r="BF104" s="148">
        <f>IF(N104="snížená",J104,0)</f>
        <v>0</v>
      </c>
      <c r="BG104" s="148">
        <f>IF(N104="zákl. přenesená",J104,0)</f>
        <v>0</v>
      </c>
      <c r="BH104" s="148">
        <f>IF(N104="sníž. přenesená",J104,0)</f>
        <v>0</v>
      </c>
      <c r="BI104" s="148">
        <f>IF(N104="nulová",J104,0)</f>
        <v>0</v>
      </c>
      <c r="BJ104" s="19" t="s">
        <v>83</v>
      </c>
      <c r="BK104" s="148">
        <f>ROUND(I104*H104,2)</f>
        <v>0</v>
      </c>
      <c r="BL104" s="19" t="s">
        <v>152</v>
      </c>
      <c r="BM104" s="147" t="s">
        <v>1172</v>
      </c>
    </row>
    <row r="105" spans="2:51" s="13" customFormat="1" ht="12">
      <c r="B105" s="149"/>
      <c r="D105" s="150" t="s">
        <v>154</v>
      </c>
      <c r="E105" s="151" t="s">
        <v>3</v>
      </c>
      <c r="F105" s="152" t="s">
        <v>1171</v>
      </c>
      <c r="H105" s="151" t="s">
        <v>3</v>
      </c>
      <c r="L105" s="149"/>
      <c r="M105" s="153"/>
      <c r="N105" s="154"/>
      <c r="O105" s="154"/>
      <c r="P105" s="154"/>
      <c r="Q105" s="154"/>
      <c r="R105" s="154"/>
      <c r="S105" s="154"/>
      <c r="T105" s="155"/>
      <c r="AT105" s="151" t="s">
        <v>154</v>
      </c>
      <c r="AU105" s="151" t="s">
        <v>85</v>
      </c>
      <c r="AV105" s="13" t="s">
        <v>83</v>
      </c>
      <c r="AW105" s="13" t="s">
        <v>37</v>
      </c>
      <c r="AX105" s="13" t="s">
        <v>75</v>
      </c>
      <c r="AY105" s="151" t="s">
        <v>144</v>
      </c>
    </row>
    <row r="106" spans="2:51" s="14" customFormat="1" ht="12">
      <c r="B106" s="156"/>
      <c r="D106" s="150" t="s">
        <v>154</v>
      </c>
      <c r="E106" s="157" t="s">
        <v>3</v>
      </c>
      <c r="F106" s="158">
        <v>3</v>
      </c>
      <c r="H106" s="159">
        <v>3</v>
      </c>
      <c r="L106" s="156"/>
      <c r="M106" s="160"/>
      <c r="N106" s="161"/>
      <c r="O106" s="161"/>
      <c r="P106" s="161"/>
      <c r="Q106" s="161"/>
      <c r="R106" s="161"/>
      <c r="S106" s="161"/>
      <c r="T106" s="162"/>
      <c r="AT106" s="157" t="s">
        <v>154</v>
      </c>
      <c r="AU106" s="157" t="s">
        <v>85</v>
      </c>
      <c r="AV106" s="14" t="s">
        <v>85</v>
      </c>
      <c r="AW106" s="14" t="s">
        <v>37</v>
      </c>
      <c r="AX106" s="14" t="s">
        <v>83</v>
      </c>
      <c r="AY106" s="157" t="s">
        <v>144</v>
      </c>
    </row>
    <row r="107" spans="1:65" s="2" customFormat="1" ht="37.9" customHeight="1">
      <c r="A107" s="31"/>
      <c r="B107" s="136"/>
      <c r="C107" s="137">
        <v>5</v>
      </c>
      <c r="D107" s="137" t="s">
        <v>147</v>
      </c>
      <c r="E107" s="138" t="s">
        <v>946</v>
      </c>
      <c r="F107" s="139" t="s">
        <v>947</v>
      </c>
      <c r="G107" s="140" t="s">
        <v>201</v>
      </c>
      <c r="H107" s="141">
        <f>H109</f>
        <v>6.9</v>
      </c>
      <c r="I107" s="142"/>
      <c r="J107" s="142">
        <f>ROUND(I107*H107,2)</f>
        <v>0</v>
      </c>
      <c r="K107" s="139" t="s">
        <v>157</v>
      </c>
      <c r="L107" s="32"/>
      <c r="M107" s="143" t="s">
        <v>3</v>
      </c>
      <c r="N107" s="144" t="s">
        <v>46</v>
      </c>
      <c r="O107" s="145">
        <v>0.668</v>
      </c>
      <c r="P107" s="145">
        <f>O107*H107</f>
        <v>4.6092</v>
      </c>
      <c r="Q107" s="145">
        <v>0</v>
      </c>
      <c r="R107" s="145">
        <f>Q107*H107</f>
        <v>0</v>
      </c>
      <c r="S107" s="145">
        <v>0.04</v>
      </c>
      <c r="T107" s="146">
        <f>S107*H107</f>
        <v>0.276</v>
      </c>
      <c r="U107" s="31"/>
      <c r="V107" s="31"/>
      <c r="W107" s="31"/>
      <c r="X107" s="31"/>
      <c r="Y107" s="31"/>
      <c r="Z107" s="31"/>
      <c r="AA107" s="31"/>
      <c r="AB107" s="31"/>
      <c r="AC107" s="31"/>
      <c r="AD107" s="31"/>
      <c r="AE107" s="31"/>
      <c r="AR107" s="147" t="s">
        <v>152</v>
      </c>
      <c r="AT107" s="147" t="s">
        <v>147</v>
      </c>
      <c r="AU107" s="147" t="s">
        <v>85</v>
      </c>
      <c r="AY107" s="19" t="s">
        <v>144</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152</v>
      </c>
      <c r="BM107" s="147" t="s">
        <v>945</v>
      </c>
    </row>
    <row r="108" spans="2:51" s="13" customFormat="1" ht="12">
      <c r="B108" s="149"/>
      <c r="D108" s="150" t="s">
        <v>154</v>
      </c>
      <c r="E108" s="151" t="s">
        <v>3</v>
      </c>
      <c r="F108" s="152" t="s">
        <v>1171</v>
      </c>
      <c r="H108" s="151" t="s">
        <v>3</v>
      </c>
      <c r="L108" s="149"/>
      <c r="M108" s="153"/>
      <c r="N108" s="154"/>
      <c r="O108" s="154"/>
      <c r="P108" s="154"/>
      <c r="Q108" s="154"/>
      <c r="R108" s="154"/>
      <c r="S108" s="154"/>
      <c r="T108" s="155"/>
      <c r="AT108" s="151" t="s">
        <v>154</v>
      </c>
      <c r="AU108" s="151" t="s">
        <v>85</v>
      </c>
      <c r="AV108" s="13" t="s">
        <v>83</v>
      </c>
      <c r="AW108" s="13" t="s">
        <v>37</v>
      </c>
      <c r="AX108" s="13" t="s">
        <v>75</v>
      </c>
      <c r="AY108" s="151" t="s">
        <v>144</v>
      </c>
    </row>
    <row r="109" spans="2:51" s="14" customFormat="1" ht="12">
      <c r="B109" s="156"/>
      <c r="D109" s="150" t="s">
        <v>154</v>
      </c>
      <c r="E109" s="157" t="s">
        <v>3</v>
      </c>
      <c r="F109" s="158" t="s">
        <v>1779</v>
      </c>
      <c r="H109" s="159">
        <f>0.75+2.9+3.25</f>
        <v>6.9</v>
      </c>
      <c r="L109" s="156"/>
      <c r="M109" s="160"/>
      <c r="N109" s="161"/>
      <c r="O109" s="161"/>
      <c r="P109" s="161"/>
      <c r="Q109" s="161"/>
      <c r="R109" s="161"/>
      <c r="S109" s="161"/>
      <c r="T109" s="162"/>
      <c r="AT109" s="157" t="s">
        <v>154</v>
      </c>
      <c r="AU109" s="157" t="s">
        <v>85</v>
      </c>
      <c r="AV109" s="14" t="s">
        <v>85</v>
      </c>
      <c r="AW109" s="14" t="s">
        <v>37</v>
      </c>
      <c r="AX109" s="14" t="s">
        <v>83</v>
      </c>
      <c r="AY109" s="157" t="s">
        <v>144</v>
      </c>
    </row>
    <row r="110" spans="2:63" s="12" customFormat="1" ht="22.9" customHeight="1">
      <c r="B110" s="124"/>
      <c r="D110" s="125" t="s">
        <v>74</v>
      </c>
      <c r="E110" s="134" t="s">
        <v>334</v>
      </c>
      <c r="F110" s="134" t="s">
        <v>335</v>
      </c>
      <c r="J110" s="135">
        <f>BK110</f>
        <v>0</v>
      </c>
      <c r="L110" s="124"/>
      <c r="M110" s="128"/>
      <c r="N110" s="129"/>
      <c r="O110" s="129"/>
      <c r="P110" s="130">
        <f>SUM(P111:P123)</f>
        <v>2.422462714285715</v>
      </c>
      <c r="Q110" s="129"/>
      <c r="R110" s="130">
        <f>SUM(R111:R123)</f>
        <v>0</v>
      </c>
      <c r="S110" s="129"/>
      <c r="T110" s="131">
        <f>SUM(T111:T123)</f>
        <v>0</v>
      </c>
      <c r="AR110" s="125" t="s">
        <v>83</v>
      </c>
      <c r="AT110" s="132" t="s">
        <v>74</v>
      </c>
      <c r="AU110" s="132" t="s">
        <v>83</v>
      </c>
      <c r="AY110" s="125" t="s">
        <v>144</v>
      </c>
      <c r="BK110" s="133">
        <f>SUM(BK111:BK123)</f>
        <v>0</v>
      </c>
    </row>
    <row r="111" spans="1:65" s="2" customFormat="1" ht="37.9" customHeight="1">
      <c r="A111" s="31"/>
      <c r="B111" s="136"/>
      <c r="C111" s="137">
        <v>6</v>
      </c>
      <c r="D111" s="137" t="s">
        <v>147</v>
      </c>
      <c r="E111" s="138" t="s">
        <v>337</v>
      </c>
      <c r="F111" s="139" t="s">
        <v>338</v>
      </c>
      <c r="G111" s="140" t="s">
        <v>170</v>
      </c>
      <c r="H111" s="141">
        <f>5.668/28*3</f>
        <v>0.6072857142857143</v>
      </c>
      <c r="I111" s="142"/>
      <c r="J111" s="142">
        <f>ROUND(I111*H111,2)</f>
        <v>0</v>
      </c>
      <c r="K111" s="139" t="s">
        <v>157</v>
      </c>
      <c r="L111" s="32"/>
      <c r="M111" s="143" t="s">
        <v>3</v>
      </c>
      <c r="N111" s="144" t="s">
        <v>46</v>
      </c>
      <c r="O111" s="145">
        <v>2.42</v>
      </c>
      <c r="P111" s="145">
        <f>O111*H111</f>
        <v>1.4696314285714287</v>
      </c>
      <c r="Q111" s="145">
        <v>0</v>
      </c>
      <c r="R111" s="145">
        <f>Q111*H111</f>
        <v>0</v>
      </c>
      <c r="S111" s="145">
        <v>0</v>
      </c>
      <c r="T111" s="146">
        <f>S111*H111</f>
        <v>0</v>
      </c>
      <c r="U111" s="31"/>
      <c r="V111" s="31"/>
      <c r="W111" s="31"/>
      <c r="X111" s="31"/>
      <c r="Y111" s="31"/>
      <c r="Z111" s="31"/>
      <c r="AA111" s="31"/>
      <c r="AB111" s="31"/>
      <c r="AC111" s="31"/>
      <c r="AD111" s="31"/>
      <c r="AE111" s="31"/>
      <c r="AR111" s="147" t="s">
        <v>152</v>
      </c>
      <c r="AT111" s="147" t="s">
        <v>147</v>
      </c>
      <c r="AU111" s="147" t="s">
        <v>85</v>
      </c>
      <c r="AY111" s="19" t="s">
        <v>144</v>
      </c>
      <c r="BE111" s="148">
        <f>IF(N111="základní",J111,0)</f>
        <v>0</v>
      </c>
      <c r="BF111" s="148">
        <f>IF(N111="snížená",J111,0)</f>
        <v>0</v>
      </c>
      <c r="BG111" s="148">
        <f>IF(N111="zákl. přenesená",J111,0)</f>
        <v>0</v>
      </c>
      <c r="BH111" s="148">
        <f>IF(N111="sníž. přenesená",J111,0)</f>
        <v>0</v>
      </c>
      <c r="BI111" s="148">
        <f>IF(N111="nulová",J111,0)</f>
        <v>0</v>
      </c>
      <c r="BJ111" s="19" t="s">
        <v>83</v>
      </c>
      <c r="BK111" s="148">
        <f>ROUND(I111*H111,2)</f>
        <v>0</v>
      </c>
      <c r="BL111" s="19" t="s">
        <v>152</v>
      </c>
      <c r="BM111" s="147" t="s">
        <v>953</v>
      </c>
    </row>
    <row r="112" spans="1:47" s="2" customFormat="1" ht="146.25">
      <c r="A112" s="31"/>
      <c r="B112" s="32"/>
      <c r="C112" s="31"/>
      <c r="D112" s="150" t="s">
        <v>158</v>
      </c>
      <c r="E112" s="31"/>
      <c r="F112" s="163" t="s">
        <v>340</v>
      </c>
      <c r="G112" s="31"/>
      <c r="H112" s="31"/>
      <c r="I112" s="31"/>
      <c r="J112" s="31"/>
      <c r="K112" s="31"/>
      <c r="L112" s="32"/>
      <c r="M112" s="164"/>
      <c r="N112" s="165"/>
      <c r="O112" s="52"/>
      <c r="P112" s="52"/>
      <c r="Q112" s="52"/>
      <c r="R112" s="52"/>
      <c r="S112" s="52"/>
      <c r="T112" s="53"/>
      <c r="U112" s="31"/>
      <c r="V112" s="31"/>
      <c r="W112" s="31"/>
      <c r="X112" s="31"/>
      <c r="Y112" s="31"/>
      <c r="Z112" s="31"/>
      <c r="AA112" s="31"/>
      <c r="AB112" s="31"/>
      <c r="AC112" s="31"/>
      <c r="AD112" s="31"/>
      <c r="AE112" s="31"/>
      <c r="AT112" s="19" t="s">
        <v>158</v>
      </c>
      <c r="AU112" s="19" t="s">
        <v>85</v>
      </c>
    </row>
    <row r="113" spans="1:65" s="2" customFormat="1" ht="62.65" customHeight="1">
      <c r="A113" s="31"/>
      <c r="B113" s="136"/>
      <c r="C113" s="137">
        <v>7</v>
      </c>
      <c r="D113" s="137" t="s">
        <v>147</v>
      </c>
      <c r="E113" s="138" t="s">
        <v>342</v>
      </c>
      <c r="F113" s="139" t="s">
        <v>343</v>
      </c>
      <c r="G113" s="140" t="s">
        <v>170</v>
      </c>
      <c r="H113" s="141">
        <f>H111*5</f>
        <v>3.0364285714285715</v>
      </c>
      <c r="I113" s="142"/>
      <c r="J113" s="142">
        <f>ROUND(I113*H113,2)</f>
        <v>0</v>
      </c>
      <c r="K113" s="139" t="s">
        <v>157</v>
      </c>
      <c r="L113" s="32"/>
      <c r="M113" s="143" t="s">
        <v>3</v>
      </c>
      <c r="N113" s="144" t="s">
        <v>46</v>
      </c>
      <c r="O113" s="145">
        <v>0.26</v>
      </c>
      <c r="P113" s="145">
        <f>O113*H113</f>
        <v>0.7894714285714286</v>
      </c>
      <c r="Q113" s="145">
        <v>0</v>
      </c>
      <c r="R113" s="145">
        <f>Q113*H113</f>
        <v>0</v>
      </c>
      <c r="S113" s="145">
        <v>0</v>
      </c>
      <c r="T113" s="146">
        <f>S113*H113</f>
        <v>0</v>
      </c>
      <c r="U113" s="31"/>
      <c r="V113" s="31"/>
      <c r="W113" s="31"/>
      <c r="X113" s="31"/>
      <c r="Y113" s="31"/>
      <c r="Z113" s="31"/>
      <c r="AA113" s="31"/>
      <c r="AB113" s="31"/>
      <c r="AC113" s="31"/>
      <c r="AD113" s="31"/>
      <c r="AE113" s="31"/>
      <c r="AR113" s="147" t="s">
        <v>152</v>
      </c>
      <c r="AT113" s="147" t="s">
        <v>147</v>
      </c>
      <c r="AU113" s="147" t="s">
        <v>85</v>
      </c>
      <c r="AY113" s="19" t="s">
        <v>144</v>
      </c>
      <c r="BE113" s="148">
        <f>IF(N113="základní",J113,0)</f>
        <v>0</v>
      </c>
      <c r="BF113" s="148">
        <f>IF(N113="snížená",J113,0)</f>
        <v>0</v>
      </c>
      <c r="BG113" s="148">
        <f>IF(N113="zákl. přenesená",J113,0)</f>
        <v>0</v>
      </c>
      <c r="BH113" s="148">
        <f>IF(N113="sníž. přenesená",J113,0)</f>
        <v>0</v>
      </c>
      <c r="BI113" s="148">
        <f>IF(N113="nulová",J113,0)</f>
        <v>0</v>
      </c>
      <c r="BJ113" s="19" t="s">
        <v>83</v>
      </c>
      <c r="BK113" s="148">
        <f>ROUND(I113*H113,2)</f>
        <v>0</v>
      </c>
      <c r="BL113" s="19" t="s">
        <v>152</v>
      </c>
      <c r="BM113" s="147" t="s">
        <v>954</v>
      </c>
    </row>
    <row r="114" spans="1:47" s="2" customFormat="1" ht="146.25">
      <c r="A114" s="31"/>
      <c r="B114" s="32"/>
      <c r="C114" s="31"/>
      <c r="D114" s="150" t="s">
        <v>158</v>
      </c>
      <c r="E114" s="31"/>
      <c r="F114" s="163" t="s">
        <v>340</v>
      </c>
      <c r="G114" s="31"/>
      <c r="H114" s="31"/>
      <c r="I114" s="31"/>
      <c r="J114" s="31"/>
      <c r="K114" s="31"/>
      <c r="L114" s="32"/>
      <c r="M114" s="164"/>
      <c r="N114" s="165"/>
      <c r="O114" s="52"/>
      <c r="P114" s="52"/>
      <c r="Q114" s="52"/>
      <c r="R114" s="52"/>
      <c r="S114" s="52"/>
      <c r="T114" s="53"/>
      <c r="U114" s="31"/>
      <c r="V114" s="31"/>
      <c r="W114" s="31"/>
      <c r="X114" s="31"/>
      <c r="Y114" s="31"/>
      <c r="Z114" s="31"/>
      <c r="AA114" s="31"/>
      <c r="AB114" s="31"/>
      <c r="AC114" s="31"/>
      <c r="AD114" s="31"/>
      <c r="AE114" s="31"/>
      <c r="AT114" s="19" t="s">
        <v>158</v>
      </c>
      <c r="AU114" s="19" t="s">
        <v>85</v>
      </c>
    </row>
    <row r="115" spans="2:51" s="14" customFormat="1" ht="12">
      <c r="B115" s="156"/>
      <c r="D115" s="150" t="s">
        <v>154</v>
      </c>
      <c r="F115" s="158" t="s">
        <v>1781</v>
      </c>
      <c r="H115" s="159">
        <f>H113</f>
        <v>3.0364285714285715</v>
      </c>
      <c r="L115" s="156"/>
      <c r="M115" s="160"/>
      <c r="N115" s="161"/>
      <c r="O115" s="161"/>
      <c r="P115" s="161"/>
      <c r="Q115" s="161"/>
      <c r="R115" s="161"/>
      <c r="S115" s="161"/>
      <c r="T115" s="162"/>
      <c r="AT115" s="157" t="s">
        <v>154</v>
      </c>
      <c r="AU115" s="157" t="s">
        <v>85</v>
      </c>
      <c r="AV115" s="14" t="s">
        <v>85</v>
      </c>
      <c r="AW115" s="14" t="s">
        <v>4</v>
      </c>
      <c r="AX115" s="14" t="s">
        <v>83</v>
      </c>
      <c r="AY115" s="157" t="s">
        <v>144</v>
      </c>
    </row>
    <row r="116" spans="1:65" s="2" customFormat="1" ht="24.2" customHeight="1">
      <c r="A116" s="31"/>
      <c r="B116" s="136"/>
      <c r="C116" s="137">
        <v>8</v>
      </c>
      <c r="D116" s="137" t="s">
        <v>147</v>
      </c>
      <c r="E116" s="138" t="s">
        <v>346</v>
      </c>
      <c r="F116" s="139" t="s">
        <v>347</v>
      </c>
      <c r="G116" s="140" t="s">
        <v>170</v>
      </c>
      <c r="H116" s="141">
        <f>H111</f>
        <v>0.6072857142857143</v>
      </c>
      <c r="I116" s="142"/>
      <c r="J116" s="142">
        <f>ROUND(I116*H116,2)</f>
        <v>0</v>
      </c>
      <c r="K116" s="139" t="s">
        <v>157</v>
      </c>
      <c r="L116" s="32"/>
      <c r="M116" s="143" t="s">
        <v>3</v>
      </c>
      <c r="N116" s="144" t="s">
        <v>46</v>
      </c>
      <c r="O116" s="145">
        <v>0.125</v>
      </c>
      <c r="P116" s="145">
        <f>O116*H116</f>
        <v>0.07591071428571429</v>
      </c>
      <c r="Q116" s="145">
        <v>0</v>
      </c>
      <c r="R116" s="145">
        <f>Q116*H116</f>
        <v>0</v>
      </c>
      <c r="S116" s="145">
        <v>0</v>
      </c>
      <c r="T116" s="146">
        <f>S116*H116</f>
        <v>0</v>
      </c>
      <c r="U116" s="31"/>
      <c r="V116" s="31"/>
      <c r="W116" s="31"/>
      <c r="X116" s="31"/>
      <c r="Y116" s="31"/>
      <c r="Z116" s="31"/>
      <c r="AA116" s="31"/>
      <c r="AB116" s="31"/>
      <c r="AC116" s="31"/>
      <c r="AD116" s="31"/>
      <c r="AE116" s="31"/>
      <c r="AR116" s="147" t="s">
        <v>152</v>
      </c>
      <c r="AT116" s="147" t="s">
        <v>147</v>
      </c>
      <c r="AU116" s="147" t="s">
        <v>85</v>
      </c>
      <c r="AY116" s="19" t="s">
        <v>144</v>
      </c>
      <c r="BE116" s="148">
        <f>IF(N116="základní",J116,0)</f>
        <v>0</v>
      </c>
      <c r="BF116" s="148">
        <f>IF(N116="snížená",J116,0)</f>
        <v>0</v>
      </c>
      <c r="BG116" s="148">
        <f>IF(N116="zákl. přenesená",J116,0)</f>
        <v>0</v>
      </c>
      <c r="BH116" s="148">
        <f>IF(N116="sníž. přenesená",J116,0)</f>
        <v>0</v>
      </c>
      <c r="BI116" s="148">
        <f>IF(N116="nulová",J116,0)</f>
        <v>0</v>
      </c>
      <c r="BJ116" s="19" t="s">
        <v>83</v>
      </c>
      <c r="BK116" s="148">
        <f>ROUND(I116*H116,2)</f>
        <v>0</v>
      </c>
      <c r="BL116" s="19" t="s">
        <v>152</v>
      </c>
      <c r="BM116" s="147" t="s">
        <v>955</v>
      </c>
    </row>
    <row r="117" spans="1:47" s="2" customFormat="1" ht="107.25">
      <c r="A117" s="31"/>
      <c r="B117" s="32"/>
      <c r="C117" s="31"/>
      <c r="D117" s="150" t="s">
        <v>158</v>
      </c>
      <c r="E117" s="31"/>
      <c r="F117" s="163" t="s">
        <v>349</v>
      </c>
      <c r="G117" s="31"/>
      <c r="H117" s="31"/>
      <c r="I117" s="31"/>
      <c r="J117" s="31"/>
      <c r="K117" s="31"/>
      <c r="L117" s="32"/>
      <c r="M117" s="164"/>
      <c r="N117" s="165"/>
      <c r="O117" s="52"/>
      <c r="P117" s="52"/>
      <c r="Q117" s="52"/>
      <c r="R117" s="52"/>
      <c r="S117" s="52"/>
      <c r="T117" s="53"/>
      <c r="U117" s="31"/>
      <c r="V117" s="31"/>
      <c r="W117" s="31"/>
      <c r="X117" s="31"/>
      <c r="Y117" s="31"/>
      <c r="Z117" s="31"/>
      <c r="AA117" s="31"/>
      <c r="AB117" s="31"/>
      <c r="AC117" s="31"/>
      <c r="AD117" s="31"/>
      <c r="AE117" s="31"/>
      <c r="AT117" s="19" t="s">
        <v>158</v>
      </c>
      <c r="AU117" s="19" t="s">
        <v>85</v>
      </c>
    </row>
    <row r="118" spans="1:65" s="2" customFormat="1" ht="37.9" customHeight="1">
      <c r="A118" s="31"/>
      <c r="B118" s="136"/>
      <c r="C118" s="137">
        <v>9</v>
      </c>
      <c r="D118" s="137" t="s">
        <v>147</v>
      </c>
      <c r="E118" s="138" t="s">
        <v>351</v>
      </c>
      <c r="F118" s="139" t="s">
        <v>352</v>
      </c>
      <c r="G118" s="140" t="s">
        <v>170</v>
      </c>
      <c r="H118" s="141">
        <f>H116*24</f>
        <v>14.574857142857145</v>
      </c>
      <c r="I118" s="142"/>
      <c r="J118" s="142">
        <f>ROUND(I118*H118,2)</f>
        <v>0</v>
      </c>
      <c r="K118" s="139" t="s">
        <v>157</v>
      </c>
      <c r="L118" s="32"/>
      <c r="M118" s="143" t="s">
        <v>3</v>
      </c>
      <c r="N118" s="144" t="s">
        <v>46</v>
      </c>
      <c r="O118" s="145">
        <v>0.006</v>
      </c>
      <c r="P118" s="145">
        <f>O118*H118</f>
        <v>0.08744914285714286</v>
      </c>
      <c r="Q118" s="145">
        <v>0</v>
      </c>
      <c r="R118" s="145">
        <f>Q118*H118</f>
        <v>0</v>
      </c>
      <c r="S118" s="145">
        <v>0</v>
      </c>
      <c r="T118" s="146">
        <f>S118*H118</f>
        <v>0</v>
      </c>
      <c r="U118" s="31"/>
      <c r="V118" s="31"/>
      <c r="W118" s="31"/>
      <c r="X118" s="31"/>
      <c r="Y118" s="31"/>
      <c r="Z118" s="31"/>
      <c r="AA118" s="31"/>
      <c r="AB118" s="31"/>
      <c r="AC118" s="31"/>
      <c r="AD118" s="31"/>
      <c r="AE118" s="31"/>
      <c r="AR118" s="147" t="s">
        <v>152</v>
      </c>
      <c r="AT118" s="147" t="s">
        <v>147</v>
      </c>
      <c r="AU118" s="147" t="s">
        <v>85</v>
      </c>
      <c r="AY118" s="19" t="s">
        <v>144</v>
      </c>
      <c r="BE118" s="148">
        <f>IF(N118="základní",J118,0)</f>
        <v>0</v>
      </c>
      <c r="BF118" s="148">
        <f>IF(N118="snížená",J118,0)</f>
        <v>0</v>
      </c>
      <c r="BG118" s="148">
        <f>IF(N118="zákl. přenesená",J118,0)</f>
        <v>0</v>
      </c>
      <c r="BH118" s="148">
        <f>IF(N118="sníž. přenesená",J118,0)</f>
        <v>0</v>
      </c>
      <c r="BI118" s="148">
        <f>IF(N118="nulová",J118,0)</f>
        <v>0</v>
      </c>
      <c r="BJ118" s="19" t="s">
        <v>83</v>
      </c>
      <c r="BK118" s="148">
        <f>ROUND(I118*H118,2)</f>
        <v>0</v>
      </c>
      <c r="BL118" s="19" t="s">
        <v>152</v>
      </c>
      <c r="BM118" s="147" t="s">
        <v>956</v>
      </c>
    </row>
    <row r="119" spans="1:47" s="2" customFormat="1" ht="107.25">
      <c r="A119" s="31"/>
      <c r="B119" s="32"/>
      <c r="C119" s="31"/>
      <c r="D119" s="150" t="s">
        <v>158</v>
      </c>
      <c r="E119" s="31"/>
      <c r="F119" s="163" t="s">
        <v>349</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158</v>
      </c>
      <c r="AU119" s="19" t="s">
        <v>85</v>
      </c>
    </row>
    <row r="120" spans="2:51" s="14" customFormat="1" ht="12">
      <c r="B120" s="156"/>
      <c r="D120" s="150" t="s">
        <v>154</v>
      </c>
      <c r="F120" s="158" t="s">
        <v>1786</v>
      </c>
      <c r="H120" s="159">
        <f>H118</f>
        <v>14.574857142857145</v>
      </c>
      <c r="L120" s="156"/>
      <c r="M120" s="160"/>
      <c r="N120" s="161"/>
      <c r="O120" s="161"/>
      <c r="P120" s="161"/>
      <c r="Q120" s="161"/>
      <c r="R120" s="161"/>
      <c r="S120" s="161"/>
      <c r="T120" s="162"/>
      <c r="AT120" s="157" t="s">
        <v>154</v>
      </c>
      <c r="AU120" s="157" t="s">
        <v>85</v>
      </c>
      <c r="AV120" s="14" t="s">
        <v>85</v>
      </c>
      <c r="AW120" s="14" t="s">
        <v>4</v>
      </c>
      <c r="AX120" s="14" t="s">
        <v>83</v>
      </c>
      <c r="AY120" s="157" t="s">
        <v>144</v>
      </c>
    </row>
    <row r="121" spans="1:65" s="2" customFormat="1" ht="37.9" customHeight="1">
      <c r="A121" s="31"/>
      <c r="B121" s="136"/>
      <c r="C121" s="137">
        <v>10</v>
      </c>
      <c r="D121" s="137" t="s">
        <v>147</v>
      </c>
      <c r="E121" s="138" t="s">
        <v>355</v>
      </c>
      <c r="F121" s="139" t="s">
        <v>356</v>
      </c>
      <c r="G121" s="140" t="s">
        <v>170</v>
      </c>
      <c r="H121" s="141">
        <f>H111</f>
        <v>0.6072857142857143</v>
      </c>
      <c r="I121" s="142"/>
      <c r="J121" s="142">
        <f>ROUND(I121*H121,2)</f>
        <v>0</v>
      </c>
      <c r="K121" s="139" t="s">
        <v>157</v>
      </c>
      <c r="L121" s="32"/>
      <c r="M121" s="143" t="s">
        <v>3</v>
      </c>
      <c r="N121" s="144" t="s">
        <v>46</v>
      </c>
      <c r="O121" s="145">
        <v>0</v>
      </c>
      <c r="P121" s="145">
        <f>O121*H121</f>
        <v>0</v>
      </c>
      <c r="Q121" s="145">
        <v>0</v>
      </c>
      <c r="R121" s="145">
        <f>Q121*H121</f>
        <v>0</v>
      </c>
      <c r="S121" s="145">
        <v>0</v>
      </c>
      <c r="T121" s="146">
        <f>S121*H121</f>
        <v>0</v>
      </c>
      <c r="U121" s="31"/>
      <c r="V121" s="31"/>
      <c r="W121" s="31"/>
      <c r="X121" s="31"/>
      <c r="Y121" s="31"/>
      <c r="Z121" s="31"/>
      <c r="AA121" s="31"/>
      <c r="AB121" s="31"/>
      <c r="AC121" s="31"/>
      <c r="AD121" s="31"/>
      <c r="AE121" s="31"/>
      <c r="AR121" s="147" t="s">
        <v>152</v>
      </c>
      <c r="AT121" s="147" t="s">
        <v>147</v>
      </c>
      <c r="AU121" s="147" t="s">
        <v>85</v>
      </c>
      <c r="AY121" s="19" t="s">
        <v>144</v>
      </c>
      <c r="BE121" s="148">
        <f>IF(N121="základní",J121,0)</f>
        <v>0</v>
      </c>
      <c r="BF121" s="148">
        <f>IF(N121="snížená",J121,0)</f>
        <v>0</v>
      </c>
      <c r="BG121" s="148">
        <f>IF(N121="zákl. přenesená",J121,0)</f>
        <v>0</v>
      </c>
      <c r="BH121" s="148">
        <f>IF(N121="sníž. přenesená",J121,0)</f>
        <v>0</v>
      </c>
      <c r="BI121" s="148">
        <f>IF(N121="nulová",J121,0)</f>
        <v>0</v>
      </c>
      <c r="BJ121" s="19" t="s">
        <v>83</v>
      </c>
      <c r="BK121" s="148">
        <f>ROUND(I121*H121,2)</f>
        <v>0</v>
      </c>
      <c r="BL121" s="19" t="s">
        <v>152</v>
      </c>
      <c r="BM121" s="147" t="s">
        <v>957</v>
      </c>
    </row>
    <row r="122" spans="1:47" s="2" customFormat="1" ht="107.25">
      <c r="A122" s="31"/>
      <c r="B122" s="32"/>
      <c r="C122" s="31"/>
      <c r="D122" s="150" t="s">
        <v>158</v>
      </c>
      <c r="E122" s="31"/>
      <c r="F122" s="163" t="s">
        <v>358</v>
      </c>
      <c r="G122" s="31"/>
      <c r="H122" s="31"/>
      <c r="I122" s="31"/>
      <c r="J122" s="31"/>
      <c r="K122" s="31"/>
      <c r="L122" s="32"/>
      <c r="M122" s="164"/>
      <c r="N122" s="165"/>
      <c r="O122" s="52"/>
      <c r="P122" s="52"/>
      <c r="Q122" s="52"/>
      <c r="R122" s="52"/>
      <c r="S122" s="52"/>
      <c r="T122" s="53"/>
      <c r="U122" s="31"/>
      <c r="V122" s="31"/>
      <c r="W122" s="31"/>
      <c r="X122" s="31"/>
      <c r="Y122" s="31"/>
      <c r="Z122" s="31"/>
      <c r="AA122" s="31"/>
      <c r="AB122" s="31"/>
      <c r="AC122" s="31"/>
      <c r="AD122" s="31"/>
      <c r="AE122" s="31"/>
      <c r="AT122" s="19" t="s">
        <v>158</v>
      </c>
      <c r="AU122" s="19" t="s">
        <v>85</v>
      </c>
    </row>
    <row r="123" spans="1:65" s="2" customFormat="1" ht="24.2" customHeight="1">
      <c r="A123" s="31"/>
      <c r="B123" s="136"/>
      <c r="C123" s="137">
        <v>11</v>
      </c>
      <c r="D123" s="137" t="s">
        <v>147</v>
      </c>
      <c r="E123" s="138" t="s">
        <v>958</v>
      </c>
      <c r="F123" s="139" t="s">
        <v>959</v>
      </c>
      <c r="G123" s="140" t="s">
        <v>960</v>
      </c>
      <c r="H123" s="141">
        <v>1</v>
      </c>
      <c r="I123" s="142"/>
      <c r="J123" s="142">
        <f>ROUND(I123*H123,2)</f>
        <v>0</v>
      </c>
      <c r="K123" s="139" t="s">
        <v>151</v>
      </c>
      <c r="L123" s="32"/>
      <c r="M123" s="143" t="s">
        <v>3</v>
      </c>
      <c r="N123" s="144" t="s">
        <v>46</v>
      </c>
      <c r="O123" s="145">
        <v>0</v>
      </c>
      <c r="P123" s="145">
        <f>O123*H123</f>
        <v>0</v>
      </c>
      <c r="Q123" s="145">
        <v>0</v>
      </c>
      <c r="R123" s="145">
        <f>Q123*H123</f>
        <v>0</v>
      </c>
      <c r="S123" s="145">
        <v>0</v>
      </c>
      <c r="T123" s="146">
        <f>S123*H123</f>
        <v>0</v>
      </c>
      <c r="U123" s="31"/>
      <c r="V123" s="31"/>
      <c r="W123" s="31"/>
      <c r="X123" s="31"/>
      <c r="Y123" s="31"/>
      <c r="Z123" s="31"/>
      <c r="AA123" s="31"/>
      <c r="AB123" s="31"/>
      <c r="AC123" s="31"/>
      <c r="AD123" s="31"/>
      <c r="AE123" s="31"/>
      <c r="AR123" s="147" t="s">
        <v>152</v>
      </c>
      <c r="AT123" s="147" t="s">
        <v>147</v>
      </c>
      <c r="AU123" s="147" t="s">
        <v>85</v>
      </c>
      <c r="AY123" s="19" t="s">
        <v>144</v>
      </c>
      <c r="BE123" s="148">
        <f>IF(N123="základní",J123,0)</f>
        <v>0</v>
      </c>
      <c r="BF123" s="148">
        <f>IF(N123="snížená",J123,0)</f>
        <v>0</v>
      </c>
      <c r="BG123" s="148">
        <f>IF(N123="zákl. přenesená",J123,0)</f>
        <v>0</v>
      </c>
      <c r="BH123" s="148">
        <f>IF(N123="sníž. přenesená",J123,0)</f>
        <v>0</v>
      </c>
      <c r="BI123" s="148">
        <f>IF(N123="nulová",J123,0)</f>
        <v>0</v>
      </c>
      <c r="BJ123" s="19" t="s">
        <v>83</v>
      </c>
      <c r="BK123" s="148">
        <f>ROUND(I123*H123,2)</f>
        <v>0</v>
      </c>
      <c r="BL123" s="19" t="s">
        <v>152</v>
      </c>
      <c r="BM123" s="147" t="s">
        <v>1173</v>
      </c>
    </row>
    <row r="124" spans="2:63" s="12" customFormat="1" ht="22.9" customHeight="1">
      <c r="B124" s="124"/>
      <c r="D124" s="125" t="s">
        <v>74</v>
      </c>
      <c r="E124" s="134" t="s">
        <v>359</v>
      </c>
      <c r="F124" s="134" t="s">
        <v>360</v>
      </c>
      <c r="J124" s="135">
        <f>BK124</f>
        <v>0</v>
      </c>
      <c r="L124" s="124"/>
      <c r="M124" s="128"/>
      <c r="N124" s="129"/>
      <c r="O124" s="129"/>
      <c r="P124" s="130">
        <f>SUM(P125:P126)</f>
        <v>0.8782671428571429</v>
      </c>
      <c r="Q124" s="129"/>
      <c r="R124" s="130">
        <f>SUM(R125:R126)</f>
        <v>0</v>
      </c>
      <c r="S124" s="129"/>
      <c r="T124" s="131">
        <f>SUM(T125:T126)</f>
        <v>0</v>
      </c>
      <c r="AR124" s="125" t="s">
        <v>83</v>
      </c>
      <c r="AT124" s="132" t="s">
        <v>74</v>
      </c>
      <c r="AU124" s="132" t="s">
        <v>83</v>
      </c>
      <c r="AY124" s="125" t="s">
        <v>144</v>
      </c>
      <c r="BK124" s="133">
        <f>SUM(BK125:BK126)</f>
        <v>0</v>
      </c>
    </row>
    <row r="125" spans="1:65" s="2" customFormat="1" ht="49.15" customHeight="1">
      <c r="A125" s="31"/>
      <c r="B125" s="136"/>
      <c r="C125" s="137">
        <v>12</v>
      </c>
      <c r="D125" s="137" t="s">
        <v>147</v>
      </c>
      <c r="E125" s="138" t="s">
        <v>362</v>
      </c>
      <c r="F125" s="139" t="s">
        <v>363</v>
      </c>
      <c r="G125" s="140" t="s">
        <v>170</v>
      </c>
      <c r="H125" s="141">
        <f>2.029/28*3</f>
        <v>0.21739285714285717</v>
      </c>
      <c r="I125" s="142"/>
      <c r="J125" s="142">
        <f>ROUND(I125*H125,2)</f>
        <v>0</v>
      </c>
      <c r="K125" s="139" t="s">
        <v>157</v>
      </c>
      <c r="L125" s="32"/>
      <c r="M125" s="143" t="s">
        <v>3</v>
      </c>
      <c r="N125" s="144" t="s">
        <v>46</v>
      </c>
      <c r="O125" s="145">
        <v>4.04</v>
      </c>
      <c r="P125" s="145">
        <f>O125*H125</f>
        <v>0.8782671428571429</v>
      </c>
      <c r="Q125" s="145">
        <v>0</v>
      </c>
      <c r="R125" s="145">
        <f>Q125*H125</f>
        <v>0</v>
      </c>
      <c r="S125" s="145">
        <v>0</v>
      </c>
      <c r="T125" s="146">
        <f>S125*H125</f>
        <v>0</v>
      </c>
      <c r="U125" s="31"/>
      <c r="V125" s="31"/>
      <c r="W125" s="31"/>
      <c r="X125" s="31"/>
      <c r="Y125" s="31"/>
      <c r="Z125" s="31"/>
      <c r="AA125" s="31"/>
      <c r="AB125" s="31"/>
      <c r="AC125" s="31"/>
      <c r="AD125" s="31"/>
      <c r="AE125" s="31"/>
      <c r="AR125" s="147" t="s">
        <v>152</v>
      </c>
      <c r="AT125" s="147" t="s">
        <v>147</v>
      </c>
      <c r="AU125" s="147" t="s">
        <v>85</v>
      </c>
      <c r="AY125" s="19" t="s">
        <v>144</v>
      </c>
      <c r="BE125" s="148">
        <f>IF(N125="základní",J125,0)</f>
        <v>0</v>
      </c>
      <c r="BF125" s="148">
        <f>IF(N125="snížená",J125,0)</f>
        <v>0</v>
      </c>
      <c r="BG125" s="148">
        <f>IF(N125="zákl. přenesená",J125,0)</f>
        <v>0</v>
      </c>
      <c r="BH125" s="148">
        <f>IF(N125="sníž. přenesená",J125,0)</f>
        <v>0</v>
      </c>
      <c r="BI125" s="148">
        <f>IF(N125="nulová",J125,0)</f>
        <v>0</v>
      </c>
      <c r="BJ125" s="19" t="s">
        <v>83</v>
      </c>
      <c r="BK125" s="148">
        <f>ROUND(I125*H125,2)</f>
        <v>0</v>
      </c>
      <c r="BL125" s="19" t="s">
        <v>152</v>
      </c>
      <c r="BM125" s="147" t="s">
        <v>962</v>
      </c>
    </row>
    <row r="126" spans="1:47" s="2" customFormat="1" ht="87.75">
      <c r="A126" s="31"/>
      <c r="B126" s="32"/>
      <c r="C126" s="31"/>
      <c r="D126" s="150" t="s">
        <v>158</v>
      </c>
      <c r="E126" s="31"/>
      <c r="F126" s="163" t="s">
        <v>365</v>
      </c>
      <c r="G126" s="31"/>
      <c r="H126" s="31"/>
      <c r="I126" s="31"/>
      <c r="J126" s="31"/>
      <c r="K126" s="31"/>
      <c r="L126" s="32"/>
      <c r="M126" s="164"/>
      <c r="N126" s="165"/>
      <c r="O126" s="52"/>
      <c r="P126" s="52"/>
      <c r="Q126" s="52"/>
      <c r="R126" s="52"/>
      <c r="S126" s="52"/>
      <c r="T126" s="53"/>
      <c r="U126" s="31"/>
      <c r="V126" s="31"/>
      <c r="W126" s="31"/>
      <c r="X126" s="31"/>
      <c r="Y126" s="31"/>
      <c r="Z126" s="31"/>
      <c r="AA126" s="31"/>
      <c r="AB126" s="31"/>
      <c r="AC126" s="31"/>
      <c r="AD126" s="31"/>
      <c r="AE126" s="31"/>
      <c r="AT126" s="19" t="s">
        <v>158</v>
      </c>
      <c r="AU126" s="19" t="s">
        <v>85</v>
      </c>
    </row>
    <row r="127" spans="2:63" s="12" customFormat="1" ht="25.9" customHeight="1">
      <c r="B127" s="124"/>
      <c r="D127" s="125" t="s">
        <v>74</v>
      </c>
      <c r="E127" s="126" t="s">
        <v>366</v>
      </c>
      <c r="F127" s="126" t="s">
        <v>367</v>
      </c>
      <c r="J127" s="127">
        <f>BK127</f>
        <v>0</v>
      </c>
      <c r="L127" s="124"/>
      <c r="M127" s="128"/>
      <c r="N127" s="129"/>
      <c r="O127" s="129"/>
      <c r="P127" s="130">
        <f>P128+P141+P153+P182</f>
        <v>25.2402</v>
      </c>
      <c r="Q127" s="129"/>
      <c r="R127" s="130">
        <f>R128+R141+R153+R182</f>
        <v>0.373418</v>
      </c>
      <c r="S127" s="129"/>
      <c r="T127" s="131">
        <f>T128+T141+T153+T182</f>
        <v>0</v>
      </c>
      <c r="AR127" s="125" t="s">
        <v>85</v>
      </c>
      <c r="AT127" s="132" t="s">
        <v>74</v>
      </c>
      <c r="AU127" s="132" t="s">
        <v>75</v>
      </c>
      <c r="AY127" s="125" t="s">
        <v>144</v>
      </c>
      <c r="BK127" s="133">
        <f>BK128+BK141+BK153+BK182</f>
        <v>0</v>
      </c>
    </row>
    <row r="128" spans="2:63" s="12" customFormat="1" ht="22.9" customHeight="1">
      <c r="B128" s="124"/>
      <c r="D128" s="125" t="s">
        <v>74</v>
      </c>
      <c r="E128" s="134" t="s">
        <v>1174</v>
      </c>
      <c r="F128" s="134" t="s">
        <v>1175</v>
      </c>
      <c r="J128" s="135">
        <f>BK128</f>
        <v>0</v>
      </c>
      <c r="L128" s="124"/>
      <c r="M128" s="128"/>
      <c r="N128" s="129"/>
      <c r="O128" s="129"/>
      <c r="P128" s="130">
        <f>SUM(P129:P140)</f>
        <v>16.986</v>
      </c>
      <c r="Q128" s="129"/>
      <c r="R128" s="130">
        <f>SUM(R129:R140)</f>
        <v>0.019965999999999998</v>
      </c>
      <c r="S128" s="129"/>
      <c r="T128" s="131">
        <f>SUM(T129:T140)</f>
        <v>0</v>
      </c>
      <c r="AR128" s="125" t="s">
        <v>85</v>
      </c>
      <c r="AT128" s="132" t="s">
        <v>74</v>
      </c>
      <c r="AU128" s="132" t="s">
        <v>83</v>
      </c>
      <c r="AY128" s="125" t="s">
        <v>144</v>
      </c>
      <c r="BK128" s="133">
        <f>SUM(BK129:BK140)</f>
        <v>0</v>
      </c>
    </row>
    <row r="129" spans="1:65" s="2" customFormat="1" ht="24.2" customHeight="1">
      <c r="A129" s="31"/>
      <c r="B129" s="136"/>
      <c r="C129" s="137">
        <v>13</v>
      </c>
      <c r="D129" s="137" t="s">
        <v>147</v>
      </c>
      <c r="E129" s="138" t="s">
        <v>1176</v>
      </c>
      <c r="F129" s="139" t="s">
        <v>1177</v>
      </c>
      <c r="G129" s="140" t="s">
        <v>201</v>
      </c>
      <c r="H129" s="141">
        <f>H131</f>
        <v>29.8</v>
      </c>
      <c r="I129" s="142"/>
      <c r="J129" s="142">
        <f>ROUND(I129*H129,2)</f>
        <v>0</v>
      </c>
      <c r="K129" s="139" t="s">
        <v>157</v>
      </c>
      <c r="L129" s="32"/>
      <c r="M129" s="143" t="s">
        <v>3</v>
      </c>
      <c r="N129" s="144" t="s">
        <v>46</v>
      </c>
      <c r="O129" s="145">
        <v>0.414</v>
      </c>
      <c r="P129" s="145">
        <f>O129*H129</f>
        <v>12.3372</v>
      </c>
      <c r="Q129" s="145">
        <v>0.00047</v>
      </c>
      <c r="R129" s="145">
        <f>Q129*H129</f>
        <v>0.014006</v>
      </c>
      <c r="S129" s="145">
        <v>0</v>
      </c>
      <c r="T129" s="146">
        <f>S129*H129</f>
        <v>0</v>
      </c>
      <c r="U129" s="31"/>
      <c r="V129" s="31"/>
      <c r="W129" s="31"/>
      <c r="X129" s="31"/>
      <c r="Y129" s="31"/>
      <c r="Z129" s="31"/>
      <c r="AA129" s="31"/>
      <c r="AB129" s="31"/>
      <c r="AC129" s="31"/>
      <c r="AD129" s="31"/>
      <c r="AE129" s="31"/>
      <c r="AR129" s="147" t="s">
        <v>218</v>
      </c>
      <c r="AT129" s="147" t="s">
        <v>147</v>
      </c>
      <c r="AU129" s="147" t="s">
        <v>85</v>
      </c>
      <c r="AY129" s="19" t="s">
        <v>144</v>
      </c>
      <c r="BE129" s="148">
        <f>IF(N129="základní",J129,0)</f>
        <v>0</v>
      </c>
      <c r="BF129" s="148">
        <f>IF(N129="snížená",J129,0)</f>
        <v>0</v>
      </c>
      <c r="BG129" s="148">
        <f>IF(N129="zákl. přenesená",J129,0)</f>
        <v>0</v>
      </c>
      <c r="BH129" s="148">
        <f>IF(N129="sníž. přenesená",J129,0)</f>
        <v>0</v>
      </c>
      <c r="BI129" s="148">
        <f>IF(N129="nulová",J129,0)</f>
        <v>0</v>
      </c>
      <c r="BJ129" s="19" t="s">
        <v>83</v>
      </c>
      <c r="BK129" s="148">
        <f>ROUND(I129*H129,2)</f>
        <v>0</v>
      </c>
      <c r="BL129" s="19" t="s">
        <v>218</v>
      </c>
      <c r="BM129" s="147" t="s">
        <v>1178</v>
      </c>
    </row>
    <row r="130" spans="2:51" s="13" customFormat="1" ht="12">
      <c r="B130" s="149"/>
      <c r="D130" s="150" t="s">
        <v>154</v>
      </c>
      <c r="E130" s="151" t="s">
        <v>3</v>
      </c>
      <c r="F130" s="152" t="s">
        <v>1171</v>
      </c>
      <c r="H130" s="151" t="s">
        <v>3</v>
      </c>
      <c r="L130" s="149"/>
      <c r="M130" s="153"/>
      <c r="N130" s="154"/>
      <c r="O130" s="154"/>
      <c r="P130" s="154"/>
      <c r="Q130" s="154"/>
      <c r="R130" s="154"/>
      <c r="S130" s="154"/>
      <c r="T130" s="155"/>
      <c r="AT130" s="151" t="s">
        <v>154</v>
      </c>
      <c r="AU130" s="151" t="s">
        <v>85</v>
      </c>
      <c r="AV130" s="13" t="s">
        <v>83</v>
      </c>
      <c r="AW130" s="13" t="s">
        <v>37</v>
      </c>
      <c r="AX130" s="13" t="s">
        <v>75</v>
      </c>
      <c r="AY130" s="151" t="s">
        <v>144</v>
      </c>
    </row>
    <row r="131" spans="2:51" s="14" customFormat="1" ht="12">
      <c r="B131" s="156"/>
      <c r="D131" s="150" t="s">
        <v>154</v>
      </c>
      <c r="E131" s="157" t="s">
        <v>3</v>
      </c>
      <c r="F131" s="158" t="s">
        <v>1782</v>
      </c>
      <c r="H131" s="159">
        <f>0.75*2+2.9*2+3.25*2+8*0.25*2+3*2*2</f>
        <v>29.8</v>
      </c>
      <c r="L131" s="156"/>
      <c r="M131" s="160"/>
      <c r="N131" s="161"/>
      <c r="O131" s="161"/>
      <c r="P131" s="161"/>
      <c r="Q131" s="161"/>
      <c r="R131" s="161"/>
      <c r="S131" s="161"/>
      <c r="T131" s="162"/>
      <c r="AT131" s="157" t="s">
        <v>154</v>
      </c>
      <c r="AU131" s="157" t="s">
        <v>85</v>
      </c>
      <c r="AV131" s="14" t="s">
        <v>85</v>
      </c>
      <c r="AW131" s="14" t="s">
        <v>37</v>
      </c>
      <c r="AX131" s="14" t="s">
        <v>83</v>
      </c>
      <c r="AY131" s="157" t="s">
        <v>144</v>
      </c>
    </row>
    <row r="132" spans="1:65" s="2" customFormat="1" ht="24.2" customHeight="1">
      <c r="A132" s="31"/>
      <c r="B132" s="136"/>
      <c r="C132" s="137">
        <v>14</v>
      </c>
      <c r="D132" s="137" t="s">
        <v>147</v>
      </c>
      <c r="E132" s="138" t="s">
        <v>1179</v>
      </c>
      <c r="F132" s="139" t="s">
        <v>1180</v>
      </c>
      <c r="G132" s="140" t="s">
        <v>201</v>
      </c>
      <c r="H132" s="141">
        <f>H129</f>
        <v>29.8</v>
      </c>
      <c r="I132" s="142"/>
      <c r="J132" s="142">
        <f>ROUND(I132*H132,2)</f>
        <v>0</v>
      </c>
      <c r="K132" s="139" t="s">
        <v>157</v>
      </c>
      <c r="L132" s="32"/>
      <c r="M132" s="143" t="s">
        <v>3</v>
      </c>
      <c r="N132" s="144" t="s">
        <v>46</v>
      </c>
      <c r="O132" s="145">
        <v>0.038</v>
      </c>
      <c r="P132" s="145">
        <f>O132*H132</f>
        <v>1.1324</v>
      </c>
      <c r="Q132" s="145">
        <v>0</v>
      </c>
      <c r="R132" s="145">
        <f>Q132*H132</f>
        <v>0</v>
      </c>
      <c r="S132" s="145">
        <v>0</v>
      </c>
      <c r="T132" s="146">
        <f>S132*H132</f>
        <v>0</v>
      </c>
      <c r="U132" s="31"/>
      <c r="V132" s="31"/>
      <c r="W132" s="31"/>
      <c r="X132" s="31"/>
      <c r="Y132" s="31"/>
      <c r="Z132" s="31"/>
      <c r="AA132" s="31"/>
      <c r="AB132" s="31"/>
      <c r="AC132" s="31"/>
      <c r="AD132" s="31"/>
      <c r="AE132" s="31"/>
      <c r="AR132" s="147" t="s">
        <v>218</v>
      </c>
      <c r="AT132" s="147" t="s">
        <v>147</v>
      </c>
      <c r="AU132" s="147" t="s">
        <v>85</v>
      </c>
      <c r="AY132" s="19" t="s">
        <v>144</v>
      </c>
      <c r="BE132" s="148">
        <f>IF(N132="základní",J132,0)</f>
        <v>0</v>
      </c>
      <c r="BF132" s="148">
        <f>IF(N132="snížená",J132,0)</f>
        <v>0</v>
      </c>
      <c r="BG132" s="148">
        <f>IF(N132="zákl. přenesená",J132,0)</f>
        <v>0</v>
      </c>
      <c r="BH132" s="148">
        <f>IF(N132="sníž. přenesená",J132,0)</f>
        <v>0</v>
      </c>
      <c r="BI132" s="148">
        <f>IF(N132="nulová",J132,0)</f>
        <v>0</v>
      </c>
      <c r="BJ132" s="19" t="s">
        <v>83</v>
      </c>
      <c r="BK132" s="148">
        <f>ROUND(I132*H132,2)</f>
        <v>0</v>
      </c>
      <c r="BL132" s="19" t="s">
        <v>218</v>
      </c>
      <c r="BM132" s="147" t="s">
        <v>1181</v>
      </c>
    </row>
    <row r="133" spans="2:51" s="13" customFormat="1" ht="12">
      <c r="B133" s="149"/>
      <c r="D133" s="150" t="s">
        <v>154</v>
      </c>
      <c r="E133" s="151" t="s">
        <v>3</v>
      </c>
      <c r="F133" s="152" t="s">
        <v>216</v>
      </c>
      <c r="H133" s="151" t="s">
        <v>3</v>
      </c>
      <c r="L133" s="149"/>
      <c r="M133" s="153"/>
      <c r="N133" s="154"/>
      <c r="O133" s="154"/>
      <c r="P133" s="154"/>
      <c r="Q133" s="154"/>
      <c r="R133" s="154"/>
      <c r="S133" s="154"/>
      <c r="T133" s="155"/>
      <c r="AT133" s="151" t="s">
        <v>154</v>
      </c>
      <c r="AU133" s="151" t="s">
        <v>85</v>
      </c>
      <c r="AV133" s="13" t="s">
        <v>83</v>
      </c>
      <c r="AW133" s="13" t="s">
        <v>37</v>
      </c>
      <c r="AX133" s="13" t="s">
        <v>75</v>
      </c>
      <c r="AY133" s="151" t="s">
        <v>144</v>
      </c>
    </row>
    <row r="134" spans="1:65" s="2" customFormat="1" ht="49.15" customHeight="1">
      <c r="A134" s="31"/>
      <c r="B134" s="136"/>
      <c r="C134" s="137">
        <v>15</v>
      </c>
      <c r="D134" s="137" t="s">
        <v>147</v>
      </c>
      <c r="E134" s="138" t="s">
        <v>1182</v>
      </c>
      <c r="F134" s="139" t="s">
        <v>1183</v>
      </c>
      <c r="G134" s="140" t="s">
        <v>201</v>
      </c>
      <c r="H134" s="141">
        <f>H129</f>
        <v>29.8</v>
      </c>
      <c r="I134" s="142"/>
      <c r="J134" s="142">
        <f>ROUND(I134*H134,2)</f>
        <v>0</v>
      </c>
      <c r="K134" s="139" t="s">
        <v>157</v>
      </c>
      <c r="L134" s="32"/>
      <c r="M134" s="143" t="s">
        <v>3</v>
      </c>
      <c r="N134" s="144" t="s">
        <v>46</v>
      </c>
      <c r="O134" s="145">
        <v>0.118</v>
      </c>
      <c r="P134" s="145">
        <f>O134*H134</f>
        <v>3.5164</v>
      </c>
      <c r="Q134" s="145">
        <v>0.0002</v>
      </c>
      <c r="R134" s="145">
        <f>Q134*H134</f>
        <v>0.00596</v>
      </c>
      <c r="S134" s="145">
        <v>0</v>
      </c>
      <c r="T134" s="146">
        <f>S134*H134</f>
        <v>0</v>
      </c>
      <c r="U134" s="31"/>
      <c r="V134" s="31"/>
      <c r="W134" s="31"/>
      <c r="X134" s="31"/>
      <c r="Y134" s="31"/>
      <c r="Z134" s="31"/>
      <c r="AA134" s="31"/>
      <c r="AB134" s="31"/>
      <c r="AC134" s="31"/>
      <c r="AD134" s="31"/>
      <c r="AE134" s="31"/>
      <c r="AR134" s="147" t="s">
        <v>218</v>
      </c>
      <c r="AT134" s="147" t="s">
        <v>147</v>
      </c>
      <c r="AU134" s="147" t="s">
        <v>85</v>
      </c>
      <c r="AY134" s="19" t="s">
        <v>144</v>
      </c>
      <c r="BE134" s="148">
        <f>IF(N134="základní",J134,0)</f>
        <v>0</v>
      </c>
      <c r="BF134" s="148">
        <f>IF(N134="snížená",J134,0)</f>
        <v>0</v>
      </c>
      <c r="BG134" s="148">
        <f>IF(N134="zákl. přenesená",J134,0)</f>
        <v>0</v>
      </c>
      <c r="BH134" s="148">
        <f>IF(N134="sníž. přenesená",J134,0)</f>
        <v>0</v>
      </c>
      <c r="BI134" s="148">
        <f>IF(N134="nulová",J134,0)</f>
        <v>0</v>
      </c>
      <c r="BJ134" s="19" t="s">
        <v>83</v>
      </c>
      <c r="BK134" s="148">
        <f>ROUND(I134*H134,2)</f>
        <v>0</v>
      </c>
      <c r="BL134" s="19" t="s">
        <v>218</v>
      </c>
      <c r="BM134" s="147" t="s">
        <v>1184</v>
      </c>
    </row>
    <row r="135" spans="1:47" s="2" customFormat="1" ht="39">
      <c r="A135" s="31"/>
      <c r="B135" s="32"/>
      <c r="C135" s="31"/>
      <c r="D135" s="150" t="s">
        <v>158</v>
      </c>
      <c r="E135" s="31"/>
      <c r="F135" s="163" t="s">
        <v>1014</v>
      </c>
      <c r="G135" s="31"/>
      <c r="H135" s="31"/>
      <c r="I135" s="31"/>
      <c r="J135" s="31"/>
      <c r="K135" s="31"/>
      <c r="L135" s="32"/>
      <c r="M135" s="164"/>
      <c r="N135" s="165"/>
      <c r="O135" s="52"/>
      <c r="P135" s="52"/>
      <c r="Q135" s="52"/>
      <c r="R135" s="52"/>
      <c r="S135" s="52"/>
      <c r="T135" s="53"/>
      <c r="U135" s="31"/>
      <c r="V135" s="31"/>
      <c r="W135" s="31"/>
      <c r="X135" s="31"/>
      <c r="Y135" s="31"/>
      <c r="Z135" s="31"/>
      <c r="AA135" s="31"/>
      <c r="AB135" s="31"/>
      <c r="AC135" s="31"/>
      <c r="AD135" s="31"/>
      <c r="AE135" s="31"/>
      <c r="AT135" s="19" t="s">
        <v>158</v>
      </c>
      <c r="AU135" s="19" t="s">
        <v>85</v>
      </c>
    </row>
    <row r="136" spans="2:51" s="13" customFormat="1" ht="12">
      <c r="B136" s="149"/>
      <c r="D136" s="150" t="s">
        <v>154</v>
      </c>
      <c r="E136" s="151" t="s">
        <v>3</v>
      </c>
      <c r="F136" s="152" t="s">
        <v>216</v>
      </c>
      <c r="H136" s="151" t="s">
        <v>3</v>
      </c>
      <c r="L136" s="149"/>
      <c r="M136" s="153"/>
      <c r="N136" s="154"/>
      <c r="O136" s="154"/>
      <c r="P136" s="154"/>
      <c r="Q136" s="154"/>
      <c r="R136" s="154"/>
      <c r="S136" s="154"/>
      <c r="T136" s="155"/>
      <c r="AT136" s="151" t="s">
        <v>154</v>
      </c>
      <c r="AU136" s="151" t="s">
        <v>85</v>
      </c>
      <c r="AV136" s="13" t="s">
        <v>83</v>
      </c>
      <c r="AW136" s="13" t="s">
        <v>37</v>
      </c>
      <c r="AX136" s="13" t="s">
        <v>75</v>
      </c>
      <c r="AY136" s="151" t="s">
        <v>144</v>
      </c>
    </row>
    <row r="137" spans="1:65" s="2" customFormat="1" ht="37.9" customHeight="1">
      <c r="A137" s="31"/>
      <c r="B137" s="136"/>
      <c r="C137" s="137">
        <v>16</v>
      </c>
      <c r="D137" s="137" t="s">
        <v>147</v>
      </c>
      <c r="E137" s="138" t="s">
        <v>1185</v>
      </c>
      <c r="F137" s="139" t="s">
        <v>1186</v>
      </c>
      <c r="G137" s="140" t="s">
        <v>387</v>
      </c>
      <c r="H137" s="141">
        <f>SUM(J129:J134)/100</f>
        <v>0</v>
      </c>
      <c r="I137" s="142"/>
      <c r="J137" s="142">
        <f>ROUND(I137*H137,2)</f>
        <v>0</v>
      </c>
      <c r="K137" s="139" t="s">
        <v>157</v>
      </c>
      <c r="L137" s="32"/>
      <c r="M137" s="143" t="s">
        <v>3</v>
      </c>
      <c r="N137" s="144" t="s">
        <v>46</v>
      </c>
      <c r="O137" s="145">
        <v>0</v>
      </c>
      <c r="P137" s="145">
        <f>O137*H137</f>
        <v>0</v>
      </c>
      <c r="Q137" s="145">
        <v>0</v>
      </c>
      <c r="R137" s="145">
        <f>Q137*H137</f>
        <v>0</v>
      </c>
      <c r="S137" s="145">
        <v>0</v>
      </c>
      <c r="T137" s="146">
        <f>S137*H137</f>
        <v>0</v>
      </c>
      <c r="U137" s="31"/>
      <c r="V137" s="31"/>
      <c r="W137" s="31"/>
      <c r="X137" s="31"/>
      <c r="Y137" s="31"/>
      <c r="Z137" s="31"/>
      <c r="AA137" s="31"/>
      <c r="AB137" s="31"/>
      <c r="AC137" s="31"/>
      <c r="AD137" s="31"/>
      <c r="AE137" s="31"/>
      <c r="AR137" s="147" t="s">
        <v>218</v>
      </c>
      <c r="AT137" s="147" t="s">
        <v>147</v>
      </c>
      <c r="AU137" s="147" t="s">
        <v>85</v>
      </c>
      <c r="AY137" s="19" t="s">
        <v>144</v>
      </c>
      <c r="BE137" s="148">
        <f>IF(N137="základní",J137,0)</f>
        <v>0</v>
      </c>
      <c r="BF137" s="148">
        <f>IF(N137="snížená",J137,0)</f>
        <v>0</v>
      </c>
      <c r="BG137" s="148">
        <f>IF(N137="zákl. přenesená",J137,0)</f>
        <v>0</v>
      </c>
      <c r="BH137" s="148">
        <f>IF(N137="sníž. přenesená",J137,0)</f>
        <v>0</v>
      </c>
      <c r="BI137" s="148">
        <f>IF(N137="nulová",J137,0)</f>
        <v>0</v>
      </c>
      <c r="BJ137" s="19" t="s">
        <v>83</v>
      </c>
      <c r="BK137" s="148">
        <f>ROUND(I137*H137,2)</f>
        <v>0</v>
      </c>
      <c r="BL137" s="19" t="s">
        <v>218</v>
      </c>
      <c r="BM137" s="147" t="s">
        <v>1187</v>
      </c>
    </row>
    <row r="138" spans="1:47" s="2" customFormat="1" ht="126.75">
      <c r="A138" s="31"/>
      <c r="B138" s="32"/>
      <c r="C138" s="31"/>
      <c r="D138" s="150" t="s">
        <v>158</v>
      </c>
      <c r="E138" s="31"/>
      <c r="F138" s="163" t="s">
        <v>1188</v>
      </c>
      <c r="G138" s="31"/>
      <c r="H138" s="31"/>
      <c r="I138" s="31"/>
      <c r="J138" s="31"/>
      <c r="K138" s="31"/>
      <c r="L138" s="32"/>
      <c r="M138" s="164"/>
      <c r="N138" s="165"/>
      <c r="O138" s="52"/>
      <c r="P138" s="52"/>
      <c r="Q138" s="52"/>
      <c r="R138" s="52"/>
      <c r="S138" s="52"/>
      <c r="T138" s="53"/>
      <c r="U138" s="31"/>
      <c r="V138" s="31"/>
      <c r="W138" s="31"/>
      <c r="X138" s="31"/>
      <c r="Y138" s="31"/>
      <c r="Z138" s="31"/>
      <c r="AA138" s="31"/>
      <c r="AB138" s="31"/>
      <c r="AC138" s="31"/>
      <c r="AD138" s="31"/>
      <c r="AE138" s="31"/>
      <c r="AT138" s="19" t="s">
        <v>158</v>
      </c>
      <c r="AU138" s="19" t="s">
        <v>85</v>
      </c>
    </row>
    <row r="139" spans="1:65" s="2" customFormat="1" ht="37.9" customHeight="1">
      <c r="A139" s="31"/>
      <c r="B139" s="136"/>
      <c r="C139" s="137">
        <v>17</v>
      </c>
      <c r="D139" s="137" t="s">
        <v>147</v>
      </c>
      <c r="E139" s="138" t="s">
        <v>1189</v>
      </c>
      <c r="F139" s="139" t="s">
        <v>1190</v>
      </c>
      <c r="G139" s="140" t="s">
        <v>387</v>
      </c>
      <c r="H139" s="141">
        <f>H137</f>
        <v>0</v>
      </c>
      <c r="I139" s="142"/>
      <c r="J139" s="142">
        <f>ROUND(I139*H139,2)</f>
        <v>0</v>
      </c>
      <c r="K139" s="139" t="s">
        <v>157</v>
      </c>
      <c r="L139" s="32"/>
      <c r="M139" s="143" t="s">
        <v>3</v>
      </c>
      <c r="N139" s="144" t="s">
        <v>46</v>
      </c>
      <c r="O139" s="145">
        <v>0</v>
      </c>
      <c r="P139" s="145">
        <f>O139*H139</f>
        <v>0</v>
      </c>
      <c r="Q139" s="145">
        <v>0</v>
      </c>
      <c r="R139" s="145">
        <f>Q139*H139</f>
        <v>0</v>
      </c>
      <c r="S139" s="145">
        <v>0</v>
      </c>
      <c r="T139" s="146">
        <f>S139*H139</f>
        <v>0</v>
      </c>
      <c r="U139" s="31"/>
      <c r="V139" s="31"/>
      <c r="W139" s="31"/>
      <c r="X139" s="31"/>
      <c r="Y139" s="31"/>
      <c r="Z139" s="31"/>
      <c r="AA139" s="31"/>
      <c r="AB139" s="31"/>
      <c r="AC139" s="31"/>
      <c r="AD139" s="31"/>
      <c r="AE139" s="31"/>
      <c r="AR139" s="147" t="s">
        <v>218</v>
      </c>
      <c r="AT139" s="147" t="s">
        <v>147</v>
      </c>
      <c r="AU139" s="147" t="s">
        <v>85</v>
      </c>
      <c r="AY139" s="19" t="s">
        <v>144</v>
      </c>
      <c r="BE139" s="148">
        <f>IF(N139="základní",J139,0)</f>
        <v>0</v>
      </c>
      <c r="BF139" s="148">
        <f>IF(N139="snížená",J139,0)</f>
        <v>0</v>
      </c>
      <c r="BG139" s="148">
        <f>IF(N139="zákl. přenesená",J139,0)</f>
        <v>0</v>
      </c>
      <c r="BH139" s="148">
        <f>IF(N139="sníž. přenesená",J139,0)</f>
        <v>0</v>
      </c>
      <c r="BI139" s="148">
        <f>IF(N139="nulová",J139,0)</f>
        <v>0</v>
      </c>
      <c r="BJ139" s="19" t="s">
        <v>83</v>
      </c>
      <c r="BK139" s="148">
        <f>ROUND(I139*H139,2)</f>
        <v>0</v>
      </c>
      <c r="BL139" s="19" t="s">
        <v>218</v>
      </c>
      <c r="BM139" s="147" t="s">
        <v>1191</v>
      </c>
    </row>
    <row r="140" spans="1:47" s="2" customFormat="1" ht="126.75">
      <c r="A140" s="31"/>
      <c r="B140" s="32"/>
      <c r="C140" s="31"/>
      <c r="D140" s="150" t="s">
        <v>158</v>
      </c>
      <c r="E140" s="31"/>
      <c r="F140" s="163" t="s">
        <v>1188</v>
      </c>
      <c r="G140" s="31"/>
      <c r="H140" s="31"/>
      <c r="I140" s="31"/>
      <c r="J140" s="31"/>
      <c r="K140" s="31"/>
      <c r="L140" s="32"/>
      <c r="M140" s="164"/>
      <c r="N140" s="165"/>
      <c r="O140" s="52"/>
      <c r="P140" s="52"/>
      <c r="Q140" s="52"/>
      <c r="R140" s="52"/>
      <c r="S140" s="52"/>
      <c r="T140" s="53"/>
      <c r="U140" s="31"/>
      <c r="V140" s="31"/>
      <c r="W140" s="31"/>
      <c r="X140" s="31"/>
      <c r="Y140" s="31"/>
      <c r="Z140" s="31"/>
      <c r="AA140" s="31"/>
      <c r="AB140" s="31"/>
      <c r="AC140" s="31"/>
      <c r="AD140" s="31"/>
      <c r="AE140" s="31"/>
      <c r="AT140" s="19" t="s">
        <v>158</v>
      </c>
      <c r="AU140" s="19" t="s">
        <v>85</v>
      </c>
    </row>
    <row r="141" spans="2:63" s="12" customFormat="1" ht="22.9" customHeight="1">
      <c r="B141" s="124"/>
      <c r="D141" s="125" t="s">
        <v>74</v>
      </c>
      <c r="E141" s="134" t="s">
        <v>1192</v>
      </c>
      <c r="F141" s="134" t="s">
        <v>1193</v>
      </c>
      <c r="J141" s="135">
        <f>BK141</f>
        <v>0</v>
      </c>
      <c r="L141" s="124"/>
      <c r="M141" s="128"/>
      <c r="N141" s="129"/>
      <c r="O141" s="129"/>
      <c r="P141" s="130">
        <f>SUM(P142:P152)</f>
        <v>3.5</v>
      </c>
      <c r="Q141" s="129"/>
      <c r="R141" s="130">
        <f>SUM(R142:R152)</f>
        <v>0.011</v>
      </c>
      <c r="S141" s="129"/>
      <c r="T141" s="131">
        <f>SUM(T142:T152)</f>
        <v>0</v>
      </c>
      <c r="AR141" s="125" t="s">
        <v>85</v>
      </c>
      <c r="AT141" s="132" t="s">
        <v>74</v>
      </c>
      <c r="AU141" s="132" t="s">
        <v>83</v>
      </c>
      <c r="AY141" s="125" t="s">
        <v>144</v>
      </c>
      <c r="BK141" s="133">
        <f>SUM(BK142:BK152)</f>
        <v>0</v>
      </c>
    </row>
    <row r="142" spans="1:65" s="2" customFormat="1" ht="24.2" customHeight="1">
      <c r="A142" s="31"/>
      <c r="B142" s="136"/>
      <c r="C142" s="137">
        <v>18</v>
      </c>
      <c r="D142" s="137" t="s">
        <v>147</v>
      </c>
      <c r="E142" s="138" t="s">
        <v>1194</v>
      </c>
      <c r="F142" s="139" t="s">
        <v>1195</v>
      </c>
      <c r="G142" s="140" t="s">
        <v>156</v>
      </c>
      <c r="H142" s="141">
        <f>H145</f>
        <v>10</v>
      </c>
      <c r="I142" s="142"/>
      <c r="J142" s="142">
        <f>ROUND(I142*H142,2)</f>
        <v>0</v>
      </c>
      <c r="K142" s="139" t="s">
        <v>157</v>
      </c>
      <c r="L142" s="32"/>
      <c r="M142" s="143" t="s">
        <v>3</v>
      </c>
      <c r="N142" s="144" t="s">
        <v>46</v>
      </c>
      <c r="O142" s="145">
        <v>0.15</v>
      </c>
      <c r="P142" s="145">
        <f>O142*H142</f>
        <v>1.5</v>
      </c>
      <c r="Q142" s="145">
        <v>0.00026</v>
      </c>
      <c r="R142" s="145">
        <f>Q142*H142</f>
        <v>0.0026</v>
      </c>
      <c r="S142" s="145">
        <v>0</v>
      </c>
      <c r="T142" s="146">
        <f>S142*H142</f>
        <v>0</v>
      </c>
      <c r="U142" s="31"/>
      <c r="V142" s="31"/>
      <c r="W142" s="31"/>
      <c r="X142" s="31"/>
      <c r="Y142" s="31"/>
      <c r="Z142" s="31"/>
      <c r="AA142" s="31"/>
      <c r="AB142" s="31"/>
      <c r="AC142" s="31"/>
      <c r="AD142" s="31"/>
      <c r="AE142" s="31"/>
      <c r="AR142" s="147" t="s">
        <v>218</v>
      </c>
      <c r="AT142" s="147" t="s">
        <v>147</v>
      </c>
      <c r="AU142" s="147" t="s">
        <v>85</v>
      </c>
      <c r="AY142" s="19" t="s">
        <v>144</v>
      </c>
      <c r="BE142" s="148">
        <f>IF(N142="základní",J142,0)</f>
        <v>0</v>
      </c>
      <c r="BF142" s="148">
        <f>IF(N142="snížená",J142,0)</f>
        <v>0</v>
      </c>
      <c r="BG142" s="148">
        <f>IF(N142="zákl. přenesená",J142,0)</f>
        <v>0</v>
      </c>
      <c r="BH142" s="148">
        <f>IF(N142="sníž. přenesená",J142,0)</f>
        <v>0</v>
      </c>
      <c r="BI142" s="148">
        <f>IF(N142="nulová",J142,0)</f>
        <v>0</v>
      </c>
      <c r="BJ142" s="19" t="s">
        <v>83</v>
      </c>
      <c r="BK142" s="148">
        <f>ROUND(I142*H142,2)</f>
        <v>0</v>
      </c>
      <c r="BL142" s="19" t="s">
        <v>218</v>
      </c>
      <c r="BM142" s="147" t="s">
        <v>1196</v>
      </c>
    </row>
    <row r="143" spans="1:47" s="2" customFormat="1" ht="48.75">
      <c r="A143" s="31"/>
      <c r="B143" s="32"/>
      <c r="C143" s="31"/>
      <c r="D143" s="150" t="s">
        <v>158</v>
      </c>
      <c r="E143" s="31"/>
      <c r="F143" s="163" t="s">
        <v>1197</v>
      </c>
      <c r="G143" s="31"/>
      <c r="H143" s="31"/>
      <c r="I143" s="31"/>
      <c r="J143" s="31"/>
      <c r="K143" s="31"/>
      <c r="L143" s="32"/>
      <c r="M143" s="164"/>
      <c r="N143" s="165"/>
      <c r="O143" s="52"/>
      <c r="P143" s="52"/>
      <c r="Q143" s="52"/>
      <c r="R143" s="52"/>
      <c r="S143" s="52"/>
      <c r="T143" s="53"/>
      <c r="U143" s="31"/>
      <c r="V143" s="31"/>
      <c r="W143" s="31"/>
      <c r="X143" s="31"/>
      <c r="Y143" s="31"/>
      <c r="Z143" s="31"/>
      <c r="AA143" s="31"/>
      <c r="AB143" s="31"/>
      <c r="AC143" s="31"/>
      <c r="AD143" s="31"/>
      <c r="AE143" s="31"/>
      <c r="AT143" s="19" t="s">
        <v>158</v>
      </c>
      <c r="AU143" s="19" t="s">
        <v>85</v>
      </c>
    </row>
    <row r="144" spans="2:51" s="13" customFormat="1" ht="12">
      <c r="B144" s="149"/>
      <c r="D144" s="150" t="s">
        <v>154</v>
      </c>
      <c r="E144" s="151" t="s">
        <v>3</v>
      </c>
      <c r="F144" s="152" t="s">
        <v>1171</v>
      </c>
      <c r="H144" s="151" t="s">
        <v>3</v>
      </c>
      <c r="L144" s="149"/>
      <c r="M144" s="153"/>
      <c r="N144" s="154"/>
      <c r="O144" s="154"/>
      <c r="P144" s="154"/>
      <c r="Q144" s="154"/>
      <c r="R144" s="154"/>
      <c r="S144" s="154"/>
      <c r="T144" s="155"/>
      <c r="AT144" s="151" t="s">
        <v>154</v>
      </c>
      <c r="AU144" s="151" t="s">
        <v>85</v>
      </c>
      <c r="AV144" s="13" t="s">
        <v>83</v>
      </c>
      <c r="AW144" s="13" t="s">
        <v>37</v>
      </c>
      <c r="AX144" s="13" t="s">
        <v>75</v>
      </c>
      <c r="AY144" s="151" t="s">
        <v>144</v>
      </c>
    </row>
    <row r="145" spans="2:51" s="14" customFormat="1" ht="12">
      <c r="B145" s="156"/>
      <c r="D145" s="150" t="s">
        <v>154</v>
      </c>
      <c r="E145" s="157" t="s">
        <v>3</v>
      </c>
      <c r="F145" s="158" t="s">
        <v>1783</v>
      </c>
      <c r="H145" s="159">
        <v>10</v>
      </c>
      <c r="L145" s="156"/>
      <c r="M145" s="160"/>
      <c r="N145" s="161"/>
      <c r="O145" s="161"/>
      <c r="P145" s="161"/>
      <c r="Q145" s="161"/>
      <c r="R145" s="161"/>
      <c r="S145" s="161"/>
      <c r="T145" s="162"/>
      <c r="AT145" s="157" t="s">
        <v>154</v>
      </c>
      <c r="AU145" s="157" t="s">
        <v>85</v>
      </c>
      <c r="AV145" s="14" t="s">
        <v>85</v>
      </c>
      <c r="AW145" s="14" t="s">
        <v>37</v>
      </c>
      <c r="AX145" s="14" t="s">
        <v>83</v>
      </c>
      <c r="AY145" s="157" t="s">
        <v>144</v>
      </c>
    </row>
    <row r="146" spans="1:65" s="2" customFormat="1" ht="37.9" customHeight="1">
      <c r="A146" s="31"/>
      <c r="B146" s="136"/>
      <c r="C146" s="137">
        <v>19</v>
      </c>
      <c r="D146" s="137" t="s">
        <v>147</v>
      </c>
      <c r="E146" s="138" t="s">
        <v>1198</v>
      </c>
      <c r="F146" s="139" t="s">
        <v>1199</v>
      </c>
      <c r="G146" s="140" t="s">
        <v>156</v>
      </c>
      <c r="H146" s="141">
        <f>H145</f>
        <v>10</v>
      </c>
      <c r="I146" s="142"/>
      <c r="J146" s="142">
        <f>ROUND(I146*H146,2)</f>
        <v>0</v>
      </c>
      <c r="K146" s="139" t="s">
        <v>157</v>
      </c>
      <c r="L146" s="32"/>
      <c r="M146" s="143" t="s">
        <v>3</v>
      </c>
      <c r="N146" s="144" t="s">
        <v>46</v>
      </c>
      <c r="O146" s="145">
        <v>0.035</v>
      </c>
      <c r="P146" s="145">
        <f>O146*H146</f>
        <v>0.35000000000000003</v>
      </c>
      <c r="Q146" s="145">
        <v>0.00014</v>
      </c>
      <c r="R146" s="145">
        <f>Q146*H146</f>
        <v>0.0013999999999999998</v>
      </c>
      <c r="S146" s="145">
        <v>0</v>
      </c>
      <c r="T146" s="146">
        <f>S146*H146</f>
        <v>0</v>
      </c>
      <c r="U146" s="31"/>
      <c r="V146" s="31"/>
      <c r="W146" s="31"/>
      <c r="X146" s="31"/>
      <c r="Y146" s="31"/>
      <c r="Z146" s="31"/>
      <c r="AA146" s="31"/>
      <c r="AB146" s="31"/>
      <c r="AC146" s="31"/>
      <c r="AD146" s="31"/>
      <c r="AE146" s="31"/>
      <c r="AR146" s="147" t="s">
        <v>218</v>
      </c>
      <c r="AT146" s="147" t="s">
        <v>147</v>
      </c>
      <c r="AU146" s="147" t="s">
        <v>85</v>
      </c>
      <c r="AY146" s="19" t="s">
        <v>144</v>
      </c>
      <c r="BE146" s="148">
        <f>IF(N146="základní",J146,0)</f>
        <v>0</v>
      </c>
      <c r="BF146" s="148">
        <f>IF(N146="snížená",J146,0)</f>
        <v>0</v>
      </c>
      <c r="BG146" s="148">
        <f>IF(N146="zákl. přenesená",J146,0)</f>
        <v>0</v>
      </c>
      <c r="BH146" s="148">
        <f>IF(N146="sníž. přenesená",J146,0)</f>
        <v>0</v>
      </c>
      <c r="BI146" s="148">
        <f>IF(N146="nulová",J146,0)</f>
        <v>0</v>
      </c>
      <c r="BJ146" s="19" t="s">
        <v>83</v>
      </c>
      <c r="BK146" s="148">
        <f>ROUND(I146*H146,2)</f>
        <v>0</v>
      </c>
      <c r="BL146" s="19" t="s">
        <v>218</v>
      </c>
      <c r="BM146" s="147" t="s">
        <v>1200</v>
      </c>
    </row>
    <row r="147" spans="1:47" s="2" customFormat="1" ht="48.75">
      <c r="A147" s="31"/>
      <c r="B147" s="32"/>
      <c r="C147" s="31"/>
      <c r="D147" s="150" t="s">
        <v>158</v>
      </c>
      <c r="E147" s="31"/>
      <c r="F147" s="163" t="s">
        <v>1197</v>
      </c>
      <c r="G147" s="31"/>
      <c r="H147" s="31"/>
      <c r="I147" s="31"/>
      <c r="J147" s="31"/>
      <c r="K147" s="31"/>
      <c r="L147" s="32"/>
      <c r="M147" s="164"/>
      <c r="N147" s="165"/>
      <c r="O147" s="52"/>
      <c r="P147" s="52"/>
      <c r="Q147" s="52"/>
      <c r="R147" s="52"/>
      <c r="S147" s="52"/>
      <c r="T147" s="53"/>
      <c r="U147" s="31"/>
      <c r="V147" s="31"/>
      <c r="W147" s="31"/>
      <c r="X147" s="31"/>
      <c r="Y147" s="31"/>
      <c r="Z147" s="31"/>
      <c r="AA147" s="31"/>
      <c r="AB147" s="31"/>
      <c r="AC147" s="31"/>
      <c r="AD147" s="31"/>
      <c r="AE147" s="31"/>
      <c r="AT147" s="19" t="s">
        <v>158</v>
      </c>
      <c r="AU147" s="19" t="s">
        <v>85</v>
      </c>
    </row>
    <row r="148" spans="1:65" s="2" customFormat="1" ht="24.2" customHeight="1">
      <c r="A148" s="31"/>
      <c r="B148" s="136"/>
      <c r="C148" s="137">
        <v>20</v>
      </c>
      <c r="D148" s="137" t="s">
        <v>147</v>
      </c>
      <c r="E148" s="138" t="s">
        <v>1201</v>
      </c>
      <c r="F148" s="139" t="s">
        <v>1202</v>
      </c>
      <c r="G148" s="140" t="s">
        <v>156</v>
      </c>
      <c r="H148" s="141">
        <f>H142</f>
        <v>10</v>
      </c>
      <c r="I148" s="142"/>
      <c r="J148" s="142">
        <f>ROUND(I148*H148,2)</f>
        <v>0</v>
      </c>
      <c r="K148" s="139" t="s">
        <v>157</v>
      </c>
      <c r="L148" s="32"/>
      <c r="M148" s="143" t="s">
        <v>3</v>
      </c>
      <c r="N148" s="144" t="s">
        <v>46</v>
      </c>
      <c r="O148" s="145">
        <v>0.165</v>
      </c>
      <c r="P148" s="145">
        <f>O148*H148</f>
        <v>1.6500000000000001</v>
      </c>
      <c r="Q148" s="145">
        <v>0.0007</v>
      </c>
      <c r="R148" s="145">
        <f>Q148*H148</f>
        <v>0.007</v>
      </c>
      <c r="S148" s="145">
        <v>0</v>
      </c>
      <c r="T148" s="146">
        <f>S148*H148</f>
        <v>0</v>
      </c>
      <c r="U148" s="31"/>
      <c r="V148" s="31"/>
      <c r="W148" s="31"/>
      <c r="X148" s="31"/>
      <c r="Y148" s="31"/>
      <c r="Z148" s="31"/>
      <c r="AA148" s="31"/>
      <c r="AB148" s="31"/>
      <c r="AC148" s="31"/>
      <c r="AD148" s="31"/>
      <c r="AE148" s="31"/>
      <c r="AR148" s="147" t="s">
        <v>218</v>
      </c>
      <c r="AT148" s="147" t="s">
        <v>147</v>
      </c>
      <c r="AU148" s="147" t="s">
        <v>85</v>
      </c>
      <c r="AY148" s="19" t="s">
        <v>144</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218</v>
      </c>
      <c r="BM148" s="147" t="s">
        <v>1203</v>
      </c>
    </row>
    <row r="149" spans="1:65" s="2" customFormat="1" ht="37.9" customHeight="1">
      <c r="A149" s="31"/>
      <c r="B149" s="136"/>
      <c r="C149" s="137">
        <v>21</v>
      </c>
      <c r="D149" s="137" t="s">
        <v>147</v>
      </c>
      <c r="E149" s="138" t="s">
        <v>1204</v>
      </c>
      <c r="F149" s="139" t="s">
        <v>1205</v>
      </c>
      <c r="G149" s="140" t="s">
        <v>387</v>
      </c>
      <c r="H149" s="141">
        <f>SUM(J142:J148)/100</f>
        <v>0</v>
      </c>
      <c r="I149" s="142"/>
      <c r="J149" s="142">
        <f>ROUND(I149*H149,2)</f>
        <v>0</v>
      </c>
      <c r="K149" s="139" t="s">
        <v>157</v>
      </c>
      <c r="L149" s="32"/>
      <c r="M149" s="143" t="s">
        <v>3</v>
      </c>
      <c r="N149" s="144" t="s">
        <v>46</v>
      </c>
      <c r="O149" s="145">
        <v>0</v>
      </c>
      <c r="P149" s="145">
        <f>O149*H149</f>
        <v>0</v>
      </c>
      <c r="Q149" s="145">
        <v>0</v>
      </c>
      <c r="R149" s="145">
        <f>Q149*H149</f>
        <v>0</v>
      </c>
      <c r="S149" s="145">
        <v>0</v>
      </c>
      <c r="T149" s="146">
        <f>S149*H149</f>
        <v>0</v>
      </c>
      <c r="U149" s="31"/>
      <c r="V149" s="31"/>
      <c r="W149" s="31"/>
      <c r="X149" s="31"/>
      <c r="Y149" s="31"/>
      <c r="Z149" s="31"/>
      <c r="AA149" s="31"/>
      <c r="AB149" s="31"/>
      <c r="AC149" s="31"/>
      <c r="AD149" s="31"/>
      <c r="AE149" s="31"/>
      <c r="AR149" s="147" t="s">
        <v>218</v>
      </c>
      <c r="AT149" s="147" t="s">
        <v>147</v>
      </c>
      <c r="AU149" s="147" t="s">
        <v>85</v>
      </c>
      <c r="AY149" s="19" t="s">
        <v>144</v>
      </c>
      <c r="BE149" s="148">
        <f>IF(N149="základní",J149,0)</f>
        <v>0</v>
      </c>
      <c r="BF149" s="148">
        <f>IF(N149="snížená",J149,0)</f>
        <v>0</v>
      </c>
      <c r="BG149" s="148">
        <f>IF(N149="zákl. přenesená",J149,0)</f>
        <v>0</v>
      </c>
      <c r="BH149" s="148">
        <f>IF(N149="sníž. přenesená",J149,0)</f>
        <v>0</v>
      </c>
      <c r="BI149" s="148">
        <f>IF(N149="nulová",J149,0)</f>
        <v>0</v>
      </c>
      <c r="BJ149" s="19" t="s">
        <v>83</v>
      </c>
      <c r="BK149" s="148">
        <f>ROUND(I149*H149,2)</f>
        <v>0</v>
      </c>
      <c r="BL149" s="19" t="s">
        <v>218</v>
      </c>
      <c r="BM149" s="147" t="s">
        <v>1206</v>
      </c>
    </row>
    <row r="150" spans="1:47" s="2" customFormat="1" ht="126.75">
      <c r="A150" s="31"/>
      <c r="B150" s="32"/>
      <c r="C150" s="31"/>
      <c r="D150" s="150" t="s">
        <v>158</v>
      </c>
      <c r="E150" s="31"/>
      <c r="F150" s="163" t="s">
        <v>1207</v>
      </c>
      <c r="G150" s="31"/>
      <c r="H150" s="31"/>
      <c r="I150" s="31"/>
      <c r="J150" s="31"/>
      <c r="K150" s="31"/>
      <c r="L150" s="32"/>
      <c r="M150" s="164"/>
      <c r="N150" s="165"/>
      <c r="O150" s="52"/>
      <c r="P150" s="52"/>
      <c r="Q150" s="52"/>
      <c r="R150" s="52"/>
      <c r="S150" s="52"/>
      <c r="T150" s="53"/>
      <c r="U150" s="31"/>
      <c r="V150" s="31"/>
      <c r="W150" s="31"/>
      <c r="X150" s="31"/>
      <c r="Y150" s="31"/>
      <c r="Z150" s="31"/>
      <c r="AA150" s="31"/>
      <c r="AB150" s="31"/>
      <c r="AC150" s="31"/>
      <c r="AD150" s="31"/>
      <c r="AE150" s="31"/>
      <c r="AT150" s="19" t="s">
        <v>158</v>
      </c>
      <c r="AU150" s="19" t="s">
        <v>85</v>
      </c>
    </row>
    <row r="151" spans="1:65" s="2" customFormat="1" ht="37.9" customHeight="1">
      <c r="A151" s="31"/>
      <c r="B151" s="136"/>
      <c r="C151" s="137">
        <v>22</v>
      </c>
      <c r="D151" s="137" t="s">
        <v>147</v>
      </c>
      <c r="E151" s="138" t="s">
        <v>1208</v>
      </c>
      <c r="F151" s="139" t="s">
        <v>1209</v>
      </c>
      <c r="G151" s="140" t="s">
        <v>387</v>
      </c>
      <c r="H151" s="141">
        <f>H149</f>
        <v>0</v>
      </c>
      <c r="I151" s="142"/>
      <c r="J151" s="142">
        <f>ROUND(I151*H151,2)</f>
        <v>0</v>
      </c>
      <c r="K151" s="139" t="s">
        <v>157</v>
      </c>
      <c r="L151" s="32"/>
      <c r="M151" s="143" t="s">
        <v>3</v>
      </c>
      <c r="N151" s="144" t="s">
        <v>46</v>
      </c>
      <c r="O151" s="145">
        <v>0</v>
      </c>
      <c r="P151" s="145">
        <f>O151*H151</f>
        <v>0</v>
      </c>
      <c r="Q151" s="145">
        <v>0</v>
      </c>
      <c r="R151" s="145">
        <f>Q151*H151</f>
        <v>0</v>
      </c>
      <c r="S151" s="145">
        <v>0</v>
      </c>
      <c r="T151" s="146">
        <f>S151*H151</f>
        <v>0</v>
      </c>
      <c r="U151" s="31"/>
      <c r="V151" s="31"/>
      <c r="W151" s="31"/>
      <c r="X151" s="31"/>
      <c r="Y151" s="31"/>
      <c r="Z151" s="31"/>
      <c r="AA151" s="31"/>
      <c r="AB151" s="31"/>
      <c r="AC151" s="31"/>
      <c r="AD151" s="31"/>
      <c r="AE151" s="31"/>
      <c r="AR151" s="147" t="s">
        <v>218</v>
      </c>
      <c r="AT151" s="147" t="s">
        <v>147</v>
      </c>
      <c r="AU151" s="147" t="s">
        <v>85</v>
      </c>
      <c r="AY151" s="19" t="s">
        <v>144</v>
      </c>
      <c r="BE151" s="148">
        <f>IF(N151="základní",J151,0)</f>
        <v>0</v>
      </c>
      <c r="BF151" s="148">
        <f>IF(N151="snížená",J151,0)</f>
        <v>0</v>
      </c>
      <c r="BG151" s="148">
        <f>IF(N151="zákl. přenesená",J151,0)</f>
        <v>0</v>
      </c>
      <c r="BH151" s="148">
        <f>IF(N151="sníž. přenesená",J151,0)</f>
        <v>0</v>
      </c>
      <c r="BI151" s="148">
        <f>IF(N151="nulová",J151,0)</f>
        <v>0</v>
      </c>
      <c r="BJ151" s="19" t="s">
        <v>83</v>
      </c>
      <c r="BK151" s="148">
        <f>ROUND(I151*H151,2)</f>
        <v>0</v>
      </c>
      <c r="BL151" s="19" t="s">
        <v>218</v>
      </c>
      <c r="BM151" s="147" t="s">
        <v>1210</v>
      </c>
    </row>
    <row r="152" spans="1:47" s="2" customFormat="1" ht="126.75">
      <c r="A152" s="31"/>
      <c r="B152" s="32"/>
      <c r="C152" s="31"/>
      <c r="D152" s="150" t="s">
        <v>158</v>
      </c>
      <c r="E152" s="31"/>
      <c r="F152" s="163" t="s">
        <v>1207</v>
      </c>
      <c r="G152" s="31"/>
      <c r="H152" s="31"/>
      <c r="I152" s="31"/>
      <c r="J152" s="31"/>
      <c r="K152" s="31"/>
      <c r="L152" s="32"/>
      <c r="M152" s="164"/>
      <c r="N152" s="165"/>
      <c r="O152" s="52"/>
      <c r="P152" s="52"/>
      <c r="Q152" s="52"/>
      <c r="R152" s="52"/>
      <c r="S152" s="52"/>
      <c r="T152" s="53"/>
      <c r="U152" s="31"/>
      <c r="V152" s="31"/>
      <c r="W152" s="31"/>
      <c r="X152" s="31"/>
      <c r="Y152" s="31"/>
      <c r="Z152" s="31"/>
      <c r="AA152" s="31"/>
      <c r="AB152" s="31"/>
      <c r="AC152" s="31"/>
      <c r="AD152" s="31"/>
      <c r="AE152" s="31"/>
      <c r="AT152" s="19" t="s">
        <v>158</v>
      </c>
      <c r="AU152" s="19" t="s">
        <v>85</v>
      </c>
    </row>
    <row r="153" spans="2:63" s="12" customFormat="1" ht="22.9" customHeight="1">
      <c r="B153" s="124"/>
      <c r="D153" s="125" t="s">
        <v>74</v>
      </c>
      <c r="E153" s="134" t="s">
        <v>1211</v>
      </c>
      <c r="F153" s="134" t="s">
        <v>1212</v>
      </c>
      <c r="J153" s="135">
        <f>BK153</f>
        <v>0</v>
      </c>
      <c r="L153" s="124"/>
      <c r="M153" s="128"/>
      <c r="N153" s="129"/>
      <c r="O153" s="129"/>
      <c r="P153" s="130">
        <f>SUM(P154:P181)</f>
        <v>3.5920000000000005</v>
      </c>
      <c r="Q153" s="129"/>
      <c r="R153" s="130">
        <f>SUM(R154:R181)</f>
        <v>0.34126</v>
      </c>
      <c r="S153" s="129"/>
      <c r="T153" s="131">
        <f>SUM(T154:T181)</f>
        <v>0</v>
      </c>
      <c r="AR153" s="125" t="s">
        <v>85</v>
      </c>
      <c r="AT153" s="132" t="s">
        <v>74</v>
      </c>
      <c r="AU153" s="132" t="s">
        <v>83</v>
      </c>
      <c r="AY153" s="125" t="s">
        <v>144</v>
      </c>
      <c r="BK153" s="133">
        <f>SUM(BK154:BK181)</f>
        <v>0</v>
      </c>
    </row>
    <row r="154" spans="1:65" s="2" customFormat="1" ht="49.15" customHeight="1">
      <c r="A154" s="31"/>
      <c r="B154" s="136"/>
      <c r="C154" s="137">
        <v>23</v>
      </c>
      <c r="D154" s="137" t="s">
        <v>147</v>
      </c>
      <c r="E154" s="138" t="s">
        <v>1213</v>
      </c>
      <c r="F154" s="139" t="s">
        <v>1214</v>
      </c>
      <c r="G154" s="140" t="s">
        <v>156</v>
      </c>
      <c r="H154" s="141">
        <v>2</v>
      </c>
      <c r="I154" s="142"/>
      <c r="J154" s="142">
        <f>ROUND(I154*H154,2)</f>
        <v>0</v>
      </c>
      <c r="K154" s="139" t="s">
        <v>157</v>
      </c>
      <c r="L154" s="32"/>
      <c r="M154" s="143" t="s">
        <v>3</v>
      </c>
      <c r="N154" s="144" t="s">
        <v>46</v>
      </c>
      <c r="O154" s="145">
        <v>0.239</v>
      </c>
      <c r="P154" s="145">
        <f>O154*H154</f>
        <v>0.478</v>
      </c>
      <c r="Q154" s="145">
        <v>0.0154</v>
      </c>
      <c r="R154" s="145">
        <f>Q154*H154</f>
        <v>0.0308</v>
      </c>
      <c r="S154" s="145">
        <v>0</v>
      </c>
      <c r="T154" s="146">
        <f>S154*H154</f>
        <v>0</v>
      </c>
      <c r="U154" s="31"/>
      <c r="V154" s="31"/>
      <c r="W154" s="31"/>
      <c r="X154" s="31"/>
      <c r="Y154" s="31"/>
      <c r="Z154" s="31"/>
      <c r="AA154" s="31"/>
      <c r="AB154" s="31"/>
      <c r="AC154" s="31"/>
      <c r="AD154" s="31"/>
      <c r="AE154" s="31"/>
      <c r="AR154" s="147" t="s">
        <v>218</v>
      </c>
      <c r="AT154" s="147" t="s">
        <v>147</v>
      </c>
      <c r="AU154" s="147" t="s">
        <v>85</v>
      </c>
      <c r="AY154" s="19" t="s">
        <v>144</v>
      </c>
      <c r="BE154" s="148">
        <f>IF(N154="základní",J154,0)</f>
        <v>0</v>
      </c>
      <c r="BF154" s="148">
        <f>IF(N154="snížená",J154,0)</f>
        <v>0</v>
      </c>
      <c r="BG154" s="148">
        <f>IF(N154="zákl. přenesená",J154,0)</f>
        <v>0</v>
      </c>
      <c r="BH154" s="148">
        <f>IF(N154="sníž. přenesená",J154,0)</f>
        <v>0</v>
      </c>
      <c r="BI154" s="148">
        <f>IF(N154="nulová",J154,0)</f>
        <v>0</v>
      </c>
      <c r="BJ154" s="19" t="s">
        <v>83</v>
      </c>
      <c r="BK154" s="148">
        <f>ROUND(I154*H154,2)</f>
        <v>0</v>
      </c>
      <c r="BL154" s="19" t="s">
        <v>218</v>
      </c>
      <c r="BM154" s="147" t="s">
        <v>1215</v>
      </c>
    </row>
    <row r="155" spans="1:47" s="2" customFormat="1" ht="29.25">
      <c r="A155" s="31"/>
      <c r="B155" s="32"/>
      <c r="C155" s="31"/>
      <c r="D155" s="150" t="s">
        <v>158</v>
      </c>
      <c r="E155" s="31"/>
      <c r="F155" s="163" t="s">
        <v>1216</v>
      </c>
      <c r="G155" s="31"/>
      <c r="H155" s="31"/>
      <c r="I155" s="31"/>
      <c r="J155" s="31"/>
      <c r="K155" s="31"/>
      <c r="L155" s="32"/>
      <c r="M155" s="164"/>
      <c r="N155" s="165"/>
      <c r="O155" s="52"/>
      <c r="P155" s="52"/>
      <c r="Q155" s="52"/>
      <c r="R155" s="52"/>
      <c r="S155" s="52"/>
      <c r="T155" s="53"/>
      <c r="U155" s="31"/>
      <c r="V155" s="31"/>
      <c r="W155" s="31"/>
      <c r="X155" s="31"/>
      <c r="Y155" s="31"/>
      <c r="Z155" s="31"/>
      <c r="AA155" s="31"/>
      <c r="AB155" s="31"/>
      <c r="AC155" s="31"/>
      <c r="AD155" s="31"/>
      <c r="AE155" s="31"/>
      <c r="AT155" s="19" t="s">
        <v>158</v>
      </c>
      <c r="AU155" s="19" t="s">
        <v>85</v>
      </c>
    </row>
    <row r="156" spans="2:51" s="13" customFormat="1" ht="12">
      <c r="B156" s="149"/>
      <c r="D156" s="150" t="s">
        <v>154</v>
      </c>
      <c r="E156" s="151" t="s">
        <v>3</v>
      </c>
      <c r="F156" s="152" t="s">
        <v>1171</v>
      </c>
      <c r="H156" s="151" t="s">
        <v>3</v>
      </c>
      <c r="L156" s="149"/>
      <c r="M156" s="153"/>
      <c r="N156" s="154"/>
      <c r="O156" s="154"/>
      <c r="P156" s="154"/>
      <c r="Q156" s="154"/>
      <c r="R156" s="154"/>
      <c r="S156" s="154"/>
      <c r="T156" s="155"/>
      <c r="AT156" s="151" t="s">
        <v>154</v>
      </c>
      <c r="AU156" s="151" t="s">
        <v>85</v>
      </c>
      <c r="AV156" s="13" t="s">
        <v>83</v>
      </c>
      <c r="AW156" s="13" t="s">
        <v>37</v>
      </c>
      <c r="AX156" s="13" t="s">
        <v>75</v>
      </c>
      <c r="AY156" s="151" t="s">
        <v>144</v>
      </c>
    </row>
    <row r="157" spans="2:51" s="14" customFormat="1" ht="12">
      <c r="B157" s="156"/>
      <c r="D157" s="150" t="s">
        <v>154</v>
      </c>
      <c r="E157" s="157" t="s">
        <v>3</v>
      </c>
      <c r="F157" s="158" t="s">
        <v>1217</v>
      </c>
      <c r="H157" s="159">
        <f>H154</f>
        <v>2</v>
      </c>
      <c r="L157" s="156"/>
      <c r="M157" s="160"/>
      <c r="N157" s="161"/>
      <c r="O157" s="161"/>
      <c r="P157" s="161"/>
      <c r="Q157" s="161"/>
      <c r="R157" s="161"/>
      <c r="S157" s="161"/>
      <c r="T157" s="162"/>
      <c r="AT157" s="157" t="s">
        <v>154</v>
      </c>
      <c r="AU157" s="157" t="s">
        <v>85</v>
      </c>
      <c r="AV157" s="14" t="s">
        <v>85</v>
      </c>
      <c r="AW157" s="14" t="s">
        <v>37</v>
      </c>
      <c r="AX157" s="14" t="s">
        <v>83</v>
      </c>
      <c r="AY157" s="157" t="s">
        <v>144</v>
      </c>
    </row>
    <row r="158" spans="1:65" s="2" customFormat="1" ht="49.15" customHeight="1">
      <c r="A158" s="31"/>
      <c r="B158" s="136"/>
      <c r="C158" s="137">
        <v>24</v>
      </c>
      <c r="D158" s="137" t="s">
        <v>147</v>
      </c>
      <c r="E158" s="138" t="s">
        <v>1218</v>
      </c>
      <c r="F158" s="139" t="s">
        <v>1219</v>
      </c>
      <c r="G158" s="140" t="s">
        <v>156</v>
      </c>
      <c r="H158" s="141">
        <f>H161</f>
        <v>4</v>
      </c>
      <c r="I158" s="142"/>
      <c r="J158" s="142">
        <f>ROUND(I158*H158,2)</f>
        <v>0</v>
      </c>
      <c r="K158" s="139" t="s">
        <v>157</v>
      </c>
      <c r="L158" s="32"/>
      <c r="M158" s="143" t="s">
        <v>3</v>
      </c>
      <c r="N158" s="144" t="s">
        <v>46</v>
      </c>
      <c r="O158" s="145">
        <v>0.268</v>
      </c>
      <c r="P158" s="145">
        <f>O158*H158</f>
        <v>1.072</v>
      </c>
      <c r="Q158" s="145">
        <v>0.02502</v>
      </c>
      <c r="R158" s="145">
        <f>Q158*H158</f>
        <v>0.10008</v>
      </c>
      <c r="S158" s="145">
        <v>0</v>
      </c>
      <c r="T158" s="146">
        <f>S158*H158</f>
        <v>0</v>
      </c>
      <c r="U158" s="31"/>
      <c r="V158" s="31"/>
      <c r="W158" s="31"/>
      <c r="X158" s="31"/>
      <c r="Y158" s="31"/>
      <c r="Z158" s="31"/>
      <c r="AA158" s="31"/>
      <c r="AB158" s="31"/>
      <c r="AC158" s="31"/>
      <c r="AD158" s="31"/>
      <c r="AE158" s="31"/>
      <c r="AR158" s="147" t="s">
        <v>218</v>
      </c>
      <c r="AT158" s="147" t="s">
        <v>147</v>
      </c>
      <c r="AU158" s="147" t="s">
        <v>85</v>
      </c>
      <c r="AY158" s="19" t="s">
        <v>144</v>
      </c>
      <c r="BE158" s="148">
        <f>IF(N158="základní",J158,0)</f>
        <v>0</v>
      </c>
      <c r="BF158" s="148">
        <f>IF(N158="snížená",J158,0)</f>
        <v>0</v>
      </c>
      <c r="BG158" s="148">
        <f>IF(N158="zákl. přenesená",J158,0)</f>
        <v>0</v>
      </c>
      <c r="BH158" s="148">
        <f>IF(N158="sníž. přenesená",J158,0)</f>
        <v>0</v>
      </c>
      <c r="BI158" s="148">
        <f>IF(N158="nulová",J158,0)</f>
        <v>0</v>
      </c>
      <c r="BJ158" s="19" t="s">
        <v>83</v>
      </c>
      <c r="BK158" s="148">
        <f>ROUND(I158*H158,2)</f>
        <v>0</v>
      </c>
      <c r="BL158" s="19" t="s">
        <v>218</v>
      </c>
      <c r="BM158" s="147" t="s">
        <v>1220</v>
      </c>
    </row>
    <row r="159" spans="1:47" s="2" customFormat="1" ht="29.25">
      <c r="A159" s="31"/>
      <c r="B159" s="32"/>
      <c r="C159" s="31"/>
      <c r="D159" s="150" t="s">
        <v>158</v>
      </c>
      <c r="E159" s="31"/>
      <c r="F159" s="163" t="s">
        <v>1216</v>
      </c>
      <c r="G159" s="31"/>
      <c r="H159" s="31"/>
      <c r="I159" s="31"/>
      <c r="J159" s="31"/>
      <c r="K159" s="31"/>
      <c r="L159" s="32"/>
      <c r="M159" s="164"/>
      <c r="N159" s="165"/>
      <c r="O159" s="52"/>
      <c r="P159" s="52"/>
      <c r="Q159" s="52"/>
      <c r="R159" s="52"/>
      <c r="S159" s="52"/>
      <c r="T159" s="53"/>
      <c r="U159" s="31"/>
      <c r="V159" s="31"/>
      <c r="W159" s="31"/>
      <c r="X159" s="31"/>
      <c r="Y159" s="31"/>
      <c r="Z159" s="31"/>
      <c r="AA159" s="31"/>
      <c r="AB159" s="31"/>
      <c r="AC159" s="31"/>
      <c r="AD159" s="31"/>
      <c r="AE159" s="31"/>
      <c r="AT159" s="19" t="s">
        <v>158</v>
      </c>
      <c r="AU159" s="19" t="s">
        <v>85</v>
      </c>
    </row>
    <row r="160" spans="2:51" s="13" customFormat="1" ht="12">
      <c r="B160" s="149"/>
      <c r="D160" s="150" t="s">
        <v>154</v>
      </c>
      <c r="E160" s="151" t="s">
        <v>3</v>
      </c>
      <c r="F160" s="152" t="s">
        <v>1171</v>
      </c>
      <c r="H160" s="151" t="s">
        <v>3</v>
      </c>
      <c r="L160" s="149"/>
      <c r="M160" s="153"/>
      <c r="N160" s="154"/>
      <c r="O160" s="154"/>
      <c r="P160" s="154"/>
      <c r="Q160" s="154"/>
      <c r="R160" s="154"/>
      <c r="S160" s="154"/>
      <c r="T160" s="155"/>
      <c r="AT160" s="151" t="s">
        <v>154</v>
      </c>
      <c r="AU160" s="151" t="s">
        <v>85</v>
      </c>
      <c r="AV160" s="13" t="s">
        <v>83</v>
      </c>
      <c r="AW160" s="13" t="s">
        <v>37</v>
      </c>
      <c r="AX160" s="13" t="s">
        <v>75</v>
      </c>
      <c r="AY160" s="151" t="s">
        <v>144</v>
      </c>
    </row>
    <row r="161" spans="2:51" s="14" customFormat="1" ht="12">
      <c r="B161" s="156"/>
      <c r="D161" s="150" t="s">
        <v>154</v>
      </c>
      <c r="E161" s="157" t="s">
        <v>3</v>
      </c>
      <c r="F161" s="158" t="s">
        <v>1785</v>
      </c>
      <c r="H161" s="159">
        <v>4</v>
      </c>
      <c r="L161" s="156"/>
      <c r="M161" s="160"/>
      <c r="N161" s="161"/>
      <c r="O161" s="161"/>
      <c r="P161" s="161"/>
      <c r="Q161" s="161"/>
      <c r="R161" s="161"/>
      <c r="S161" s="161"/>
      <c r="T161" s="162"/>
      <c r="AT161" s="157" t="s">
        <v>154</v>
      </c>
      <c r="AU161" s="157" t="s">
        <v>85</v>
      </c>
      <c r="AV161" s="14" t="s">
        <v>85</v>
      </c>
      <c r="AW161" s="14" t="s">
        <v>37</v>
      </c>
      <c r="AX161" s="14" t="s">
        <v>83</v>
      </c>
      <c r="AY161" s="157" t="s">
        <v>144</v>
      </c>
    </row>
    <row r="162" spans="1:65" s="2" customFormat="1" ht="49.15" customHeight="1">
      <c r="A162" s="31"/>
      <c r="B162" s="136"/>
      <c r="C162" s="137">
        <v>25</v>
      </c>
      <c r="D162" s="137" t="s">
        <v>147</v>
      </c>
      <c r="E162" s="138" t="s">
        <v>1221</v>
      </c>
      <c r="F162" s="139" t="s">
        <v>1222</v>
      </c>
      <c r="G162" s="140" t="s">
        <v>156</v>
      </c>
      <c r="H162" s="141">
        <f>H165</f>
        <v>1</v>
      </c>
      <c r="I162" s="142"/>
      <c r="J162" s="142">
        <f>ROUND(I162*H162,2)</f>
        <v>0</v>
      </c>
      <c r="K162" s="139" t="s">
        <v>157</v>
      </c>
      <c r="L162" s="32"/>
      <c r="M162" s="143" t="s">
        <v>3</v>
      </c>
      <c r="N162" s="144" t="s">
        <v>46</v>
      </c>
      <c r="O162" s="145">
        <v>0.28</v>
      </c>
      <c r="P162" s="145">
        <f>O162*H162</f>
        <v>0.28</v>
      </c>
      <c r="Q162" s="145">
        <v>0.02828</v>
      </c>
      <c r="R162" s="145">
        <f>Q162*H162</f>
        <v>0.02828</v>
      </c>
      <c r="S162" s="145">
        <v>0</v>
      </c>
      <c r="T162" s="146">
        <f>S162*H162</f>
        <v>0</v>
      </c>
      <c r="U162" s="31"/>
      <c r="V162" s="31"/>
      <c r="W162" s="31"/>
      <c r="X162" s="31"/>
      <c r="Y162" s="31"/>
      <c r="Z162" s="31"/>
      <c r="AA162" s="31"/>
      <c r="AB162" s="31"/>
      <c r="AC162" s="31"/>
      <c r="AD162" s="31"/>
      <c r="AE162" s="31"/>
      <c r="AR162" s="147" t="s">
        <v>218</v>
      </c>
      <c r="AT162" s="147" t="s">
        <v>147</v>
      </c>
      <c r="AU162" s="147" t="s">
        <v>85</v>
      </c>
      <c r="AY162" s="19" t="s">
        <v>144</v>
      </c>
      <c r="BE162" s="148">
        <f>IF(N162="základní",J162,0)</f>
        <v>0</v>
      </c>
      <c r="BF162" s="148">
        <f>IF(N162="snížená",J162,0)</f>
        <v>0</v>
      </c>
      <c r="BG162" s="148">
        <f>IF(N162="zákl. přenesená",J162,0)</f>
        <v>0</v>
      </c>
      <c r="BH162" s="148">
        <f>IF(N162="sníž. přenesená",J162,0)</f>
        <v>0</v>
      </c>
      <c r="BI162" s="148">
        <f>IF(N162="nulová",J162,0)</f>
        <v>0</v>
      </c>
      <c r="BJ162" s="19" t="s">
        <v>83</v>
      </c>
      <c r="BK162" s="148">
        <f>ROUND(I162*H162,2)</f>
        <v>0</v>
      </c>
      <c r="BL162" s="19" t="s">
        <v>218</v>
      </c>
      <c r="BM162" s="147" t="s">
        <v>1223</v>
      </c>
    </row>
    <row r="163" spans="1:47" s="2" customFormat="1" ht="29.25">
      <c r="A163" s="31"/>
      <c r="B163" s="32"/>
      <c r="C163" s="31"/>
      <c r="D163" s="150" t="s">
        <v>158</v>
      </c>
      <c r="E163" s="31"/>
      <c r="F163" s="163" t="s">
        <v>1216</v>
      </c>
      <c r="G163" s="31"/>
      <c r="H163" s="31"/>
      <c r="I163" s="31"/>
      <c r="J163" s="31"/>
      <c r="K163" s="31"/>
      <c r="L163" s="32"/>
      <c r="M163" s="164"/>
      <c r="N163" s="165"/>
      <c r="O163" s="52"/>
      <c r="P163" s="52"/>
      <c r="Q163" s="52"/>
      <c r="R163" s="52"/>
      <c r="S163" s="52"/>
      <c r="T163" s="53"/>
      <c r="U163" s="31"/>
      <c r="V163" s="31"/>
      <c r="W163" s="31"/>
      <c r="X163" s="31"/>
      <c r="Y163" s="31"/>
      <c r="Z163" s="31"/>
      <c r="AA163" s="31"/>
      <c r="AB163" s="31"/>
      <c r="AC163" s="31"/>
      <c r="AD163" s="31"/>
      <c r="AE163" s="31"/>
      <c r="AT163" s="19" t="s">
        <v>158</v>
      </c>
      <c r="AU163" s="19" t="s">
        <v>85</v>
      </c>
    </row>
    <row r="164" spans="2:51" s="13" customFormat="1" ht="12">
      <c r="B164" s="149"/>
      <c r="D164" s="150" t="s">
        <v>154</v>
      </c>
      <c r="E164" s="151" t="s">
        <v>3</v>
      </c>
      <c r="F164" s="152" t="s">
        <v>1171</v>
      </c>
      <c r="H164" s="151" t="s">
        <v>3</v>
      </c>
      <c r="L164" s="149"/>
      <c r="M164" s="153"/>
      <c r="N164" s="154"/>
      <c r="O164" s="154"/>
      <c r="P164" s="154"/>
      <c r="Q164" s="154"/>
      <c r="R164" s="154"/>
      <c r="S164" s="154"/>
      <c r="T164" s="155"/>
      <c r="AT164" s="151" t="s">
        <v>154</v>
      </c>
      <c r="AU164" s="151" t="s">
        <v>85</v>
      </c>
      <c r="AV164" s="13" t="s">
        <v>83</v>
      </c>
      <c r="AW164" s="13" t="s">
        <v>37</v>
      </c>
      <c r="AX164" s="13" t="s">
        <v>75</v>
      </c>
      <c r="AY164" s="151" t="s">
        <v>144</v>
      </c>
    </row>
    <row r="165" spans="2:51" s="14" customFormat="1" ht="12">
      <c r="B165" s="156"/>
      <c r="D165" s="150" t="s">
        <v>154</v>
      </c>
      <c r="E165" s="157" t="s">
        <v>3</v>
      </c>
      <c r="F165" s="158" t="s">
        <v>1231</v>
      </c>
      <c r="H165" s="159">
        <v>1</v>
      </c>
      <c r="L165" s="156"/>
      <c r="M165" s="160"/>
      <c r="N165" s="161"/>
      <c r="O165" s="161"/>
      <c r="P165" s="161"/>
      <c r="Q165" s="161"/>
      <c r="R165" s="161"/>
      <c r="S165" s="161"/>
      <c r="T165" s="162"/>
      <c r="AT165" s="157" t="s">
        <v>154</v>
      </c>
      <c r="AU165" s="157" t="s">
        <v>85</v>
      </c>
      <c r="AV165" s="14" t="s">
        <v>85</v>
      </c>
      <c r="AW165" s="14" t="s">
        <v>37</v>
      </c>
      <c r="AX165" s="14" t="s">
        <v>83</v>
      </c>
      <c r="AY165" s="157" t="s">
        <v>144</v>
      </c>
    </row>
    <row r="166" spans="1:65" s="2" customFormat="1" ht="49.15" customHeight="1">
      <c r="A166" s="31"/>
      <c r="B166" s="136"/>
      <c r="C166" s="137">
        <v>26</v>
      </c>
      <c r="D166" s="137" t="s">
        <v>147</v>
      </c>
      <c r="E166" s="138" t="s">
        <v>1225</v>
      </c>
      <c r="F166" s="139" t="s">
        <v>1226</v>
      </c>
      <c r="G166" s="140" t="s">
        <v>156</v>
      </c>
      <c r="H166" s="141">
        <f>H169</f>
        <v>2</v>
      </c>
      <c r="I166" s="142"/>
      <c r="J166" s="142">
        <f>ROUND(I166*H166,2)</f>
        <v>0</v>
      </c>
      <c r="K166" s="139" t="s">
        <v>157</v>
      </c>
      <c r="L166" s="32"/>
      <c r="M166" s="143" t="s">
        <v>3</v>
      </c>
      <c r="N166" s="144" t="s">
        <v>46</v>
      </c>
      <c r="O166" s="145">
        <v>0.298</v>
      </c>
      <c r="P166" s="145">
        <f>O166*H166</f>
        <v>0.596</v>
      </c>
      <c r="Q166" s="145">
        <v>0.0348</v>
      </c>
      <c r="R166" s="145">
        <f>Q166*H166</f>
        <v>0.0696</v>
      </c>
      <c r="S166" s="145">
        <v>0</v>
      </c>
      <c r="T166" s="146">
        <f>S166*H166</f>
        <v>0</v>
      </c>
      <c r="U166" s="31"/>
      <c r="V166" s="31"/>
      <c r="W166" s="31"/>
      <c r="X166" s="31"/>
      <c r="Y166" s="31"/>
      <c r="Z166" s="31"/>
      <c r="AA166" s="31"/>
      <c r="AB166" s="31"/>
      <c r="AC166" s="31"/>
      <c r="AD166" s="31"/>
      <c r="AE166" s="31"/>
      <c r="AR166" s="147" t="s">
        <v>218</v>
      </c>
      <c r="AT166" s="147" t="s">
        <v>147</v>
      </c>
      <c r="AU166" s="147" t="s">
        <v>85</v>
      </c>
      <c r="AY166" s="19" t="s">
        <v>144</v>
      </c>
      <c r="BE166" s="148">
        <f>IF(N166="základní",J166,0)</f>
        <v>0</v>
      </c>
      <c r="BF166" s="148">
        <f>IF(N166="snížená",J166,0)</f>
        <v>0</v>
      </c>
      <c r="BG166" s="148">
        <f>IF(N166="zákl. přenesená",J166,0)</f>
        <v>0</v>
      </c>
      <c r="BH166" s="148">
        <f>IF(N166="sníž. přenesená",J166,0)</f>
        <v>0</v>
      </c>
      <c r="BI166" s="148">
        <f>IF(N166="nulová",J166,0)</f>
        <v>0</v>
      </c>
      <c r="BJ166" s="19" t="s">
        <v>83</v>
      </c>
      <c r="BK166" s="148">
        <f>ROUND(I166*H166,2)</f>
        <v>0</v>
      </c>
      <c r="BL166" s="19" t="s">
        <v>218</v>
      </c>
      <c r="BM166" s="147" t="s">
        <v>1227</v>
      </c>
    </row>
    <row r="167" spans="1:47" s="2" customFormat="1" ht="29.25">
      <c r="A167" s="31"/>
      <c r="B167" s="32"/>
      <c r="C167" s="31"/>
      <c r="D167" s="150" t="s">
        <v>158</v>
      </c>
      <c r="E167" s="31"/>
      <c r="F167" s="163" t="s">
        <v>1216</v>
      </c>
      <c r="G167" s="31"/>
      <c r="H167" s="31"/>
      <c r="I167" s="31"/>
      <c r="J167" s="31"/>
      <c r="K167" s="31"/>
      <c r="L167" s="32"/>
      <c r="M167" s="164"/>
      <c r="N167" s="165"/>
      <c r="O167" s="52"/>
      <c r="P167" s="52"/>
      <c r="Q167" s="52"/>
      <c r="R167" s="52"/>
      <c r="S167" s="52"/>
      <c r="T167" s="53"/>
      <c r="U167" s="31"/>
      <c r="V167" s="31"/>
      <c r="W167" s="31"/>
      <c r="X167" s="31"/>
      <c r="Y167" s="31"/>
      <c r="Z167" s="31"/>
      <c r="AA167" s="31"/>
      <c r="AB167" s="31"/>
      <c r="AC167" s="31"/>
      <c r="AD167" s="31"/>
      <c r="AE167" s="31"/>
      <c r="AT167" s="19" t="s">
        <v>158</v>
      </c>
      <c r="AU167" s="19" t="s">
        <v>85</v>
      </c>
    </row>
    <row r="168" spans="2:51" s="13" customFormat="1" ht="12">
      <c r="B168" s="149"/>
      <c r="D168" s="150" t="s">
        <v>154</v>
      </c>
      <c r="E168" s="151" t="s">
        <v>3</v>
      </c>
      <c r="F168" s="152" t="s">
        <v>1171</v>
      </c>
      <c r="H168" s="151" t="s">
        <v>3</v>
      </c>
      <c r="L168" s="149"/>
      <c r="M168" s="153"/>
      <c r="N168" s="154"/>
      <c r="O168" s="154"/>
      <c r="P168" s="154"/>
      <c r="Q168" s="154"/>
      <c r="R168" s="154"/>
      <c r="S168" s="154"/>
      <c r="T168" s="155"/>
      <c r="AT168" s="151" t="s">
        <v>154</v>
      </c>
      <c r="AU168" s="151" t="s">
        <v>85</v>
      </c>
      <c r="AV168" s="13" t="s">
        <v>83</v>
      </c>
      <c r="AW168" s="13" t="s">
        <v>37</v>
      </c>
      <c r="AX168" s="13" t="s">
        <v>75</v>
      </c>
      <c r="AY168" s="151" t="s">
        <v>144</v>
      </c>
    </row>
    <row r="169" spans="2:51" s="14" customFormat="1" ht="12">
      <c r="B169" s="156"/>
      <c r="D169" s="150" t="s">
        <v>154</v>
      </c>
      <c r="E169" s="157" t="s">
        <v>3</v>
      </c>
      <c r="F169" s="158" t="s">
        <v>1784</v>
      </c>
      <c r="H169" s="159">
        <v>2</v>
      </c>
      <c r="L169" s="156"/>
      <c r="M169" s="160"/>
      <c r="N169" s="161"/>
      <c r="O169" s="161"/>
      <c r="P169" s="161"/>
      <c r="Q169" s="161"/>
      <c r="R169" s="161"/>
      <c r="S169" s="161"/>
      <c r="T169" s="162"/>
      <c r="AT169" s="157" t="s">
        <v>154</v>
      </c>
      <c r="AU169" s="157" t="s">
        <v>85</v>
      </c>
      <c r="AV169" s="14" t="s">
        <v>85</v>
      </c>
      <c r="AW169" s="14" t="s">
        <v>37</v>
      </c>
      <c r="AX169" s="14" t="s">
        <v>83</v>
      </c>
      <c r="AY169" s="157" t="s">
        <v>144</v>
      </c>
    </row>
    <row r="170" spans="1:65" s="2" customFormat="1" ht="49.15" customHeight="1">
      <c r="A170" s="31"/>
      <c r="B170" s="136"/>
      <c r="C170" s="137">
        <v>27</v>
      </c>
      <c r="D170" s="137" t="s">
        <v>147</v>
      </c>
      <c r="E170" s="138" t="s">
        <v>1228</v>
      </c>
      <c r="F170" s="139" t="s">
        <v>1229</v>
      </c>
      <c r="G170" s="140" t="s">
        <v>156</v>
      </c>
      <c r="H170" s="141">
        <v>1</v>
      </c>
      <c r="I170" s="142"/>
      <c r="J170" s="142">
        <f>ROUND(I170*H170,2)</f>
        <v>0</v>
      </c>
      <c r="K170" s="139" t="s">
        <v>157</v>
      </c>
      <c r="L170" s="32"/>
      <c r="M170" s="143" t="s">
        <v>3</v>
      </c>
      <c r="N170" s="144" t="s">
        <v>46</v>
      </c>
      <c r="O170" s="145">
        <v>0.305</v>
      </c>
      <c r="P170" s="145">
        <f>O170*H170</f>
        <v>0.305</v>
      </c>
      <c r="Q170" s="145">
        <v>0.0372</v>
      </c>
      <c r="R170" s="145">
        <f>Q170*H170</f>
        <v>0.0372</v>
      </c>
      <c r="S170" s="145">
        <v>0</v>
      </c>
      <c r="T170" s="146">
        <f>S170*H170</f>
        <v>0</v>
      </c>
      <c r="U170" s="31"/>
      <c r="V170" s="31"/>
      <c r="W170" s="31"/>
      <c r="X170" s="31"/>
      <c r="Y170" s="31"/>
      <c r="Z170" s="31"/>
      <c r="AA170" s="31"/>
      <c r="AB170" s="31"/>
      <c r="AC170" s="31"/>
      <c r="AD170" s="31"/>
      <c r="AE170" s="31"/>
      <c r="AR170" s="147" t="s">
        <v>218</v>
      </c>
      <c r="AT170" s="147" t="s">
        <v>147</v>
      </c>
      <c r="AU170" s="147" t="s">
        <v>85</v>
      </c>
      <c r="AY170" s="19" t="s">
        <v>144</v>
      </c>
      <c r="BE170" s="148">
        <f>IF(N170="základní",J170,0)</f>
        <v>0</v>
      </c>
      <c r="BF170" s="148">
        <f>IF(N170="snížená",J170,0)</f>
        <v>0</v>
      </c>
      <c r="BG170" s="148">
        <f>IF(N170="zákl. přenesená",J170,0)</f>
        <v>0</v>
      </c>
      <c r="BH170" s="148">
        <f>IF(N170="sníž. přenesená",J170,0)</f>
        <v>0</v>
      </c>
      <c r="BI170" s="148">
        <f>IF(N170="nulová",J170,0)</f>
        <v>0</v>
      </c>
      <c r="BJ170" s="19" t="s">
        <v>83</v>
      </c>
      <c r="BK170" s="148">
        <f>ROUND(I170*H170,2)</f>
        <v>0</v>
      </c>
      <c r="BL170" s="19" t="s">
        <v>218</v>
      </c>
      <c r="BM170" s="147" t="s">
        <v>1230</v>
      </c>
    </row>
    <row r="171" spans="1:47" s="2" customFormat="1" ht="29.25">
      <c r="A171" s="31"/>
      <c r="B171" s="32"/>
      <c r="C171" s="31"/>
      <c r="D171" s="150" t="s">
        <v>158</v>
      </c>
      <c r="E171" s="31"/>
      <c r="F171" s="163" t="s">
        <v>1216</v>
      </c>
      <c r="G171" s="31"/>
      <c r="H171" s="31"/>
      <c r="I171" s="31"/>
      <c r="J171" s="31"/>
      <c r="K171" s="31"/>
      <c r="L171" s="32"/>
      <c r="M171" s="164"/>
      <c r="N171" s="165"/>
      <c r="O171" s="52"/>
      <c r="P171" s="52"/>
      <c r="Q171" s="52"/>
      <c r="R171" s="52"/>
      <c r="S171" s="52"/>
      <c r="T171" s="53"/>
      <c r="U171" s="31"/>
      <c r="V171" s="31"/>
      <c r="W171" s="31"/>
      <c r="X171" s="31"/>
      <c r="Y171" s="31"/>
      <c r="Z171" s="31"/>
      <c r="AA171" s="31"/>
      <c r="AB171" s="31"/>
      <c r="AC171" s="31"/>
      <c r="AD171" s="31"/>
      <c r="AE171" s="31"/>
      <c r="AT171" s="19" t="s">
        <v>158</v>
      </c>
      <c r="AU171" s="19" t="s">
        <v>85</v>
      </c>
    </row>
    <row r="172" spans="2:51" s="13" customFormat="1" ht="12">
      <c r="B172" s="149"/>
      <c r="D172" s="150" t="s">
        <v>154</v>
      </c>
      <c r="E172" s="151" t="s">
        <v>3</v>
      </c>
      <c r="F172" s="152" t="s">
        <v>1171</v>
      </c>
      <c r="H172" s="151" t="s">
        <v>3</v>
      </c>
      <c r="L172" s="149"/>
      <c r="M172" s="153"/>
      <c r="N172" s="154"/>
      <c r="O172" s="154"/>
      <c r="P172" s="154"/>
      <c r="Q172" s="154"/>
      <c r="R172" s="154"/>
      <c r="S172" s="154"/>
      <c r="T172" s="155"/>
      <c r="AT172" s="151" t="s">
        <v>154</v>
      </c>
      <c r="AU172" s="151" t="s">
        <v>85</v>
      </c>
      <c r="AV172" s="13" t="s">
        <v>83</v>
      </c>
      <c r="AW172" s="13" t="s">
        <v>37</v>
      </c>
      <c r="AX172" s="13" t="s">
        <v>75</v>
      </c>
      <c r="AY172" s="151" t="s">
        <v>144</v>
      </c>
    </row>
    <row r="173" spans="2:51" s="14" customFormat="1" ht="12">
      <c r="B173" s="156"/>
      <c r="D173" s="150" t="s">
        <v>154</v>
      </c>
      <c r="E173" s="157" t="s">
        <v>3</v>
      </c>
      <c r="F173" s="158" t="s">
        <v>1224</v>
      </c>
      <c r="H173" s="159">
        <v>1</v>
      </c>
      <c r="L173" s="156"/>
      <c r="M173" s="160"/>
      <c r="N173" s="161"/>
      <c r="O173" s="161"/>
      <c r="P173" s="161"/>
      <c r="Q173" s="161"/>
      <c r="R173" s="161"/>
      <c r="S173" s="161"/>
      <c r="T173" s="162"/>
      <c r="AT173" s="157" t="s">
        <v>154</v>
      </c>
      <c r="AU173" s="157" t="s">
        <v>85</v>
      </c>
      <c r="AV173" s="14" t="s">
        <v>85</v>
      </c>
      <c r="AW173" s="14" t="s">
        <v>37</v>
      </c>
      <c r="AX173" s="14" t="s">
        <v>83</v>
      </c>
      <c r="AY173" s="157" t="s">
        <v>144</v>
      </c>
    </row>
    <row r="174" spans="1:65" s="2" customFormat="1" ht="24.2" customHeight="1">
      <c r="A174" s="31"/>
      <c r="B174" s="136"/>
      <c r="C174" s="137">
        <v>28</v>
      </c>
      <c r="D174" s="137" t="s">
        <v>147</v>
      </c>
      <c r="E174" s="138" t="s">
        <v>1233</v>
      </c>
      <c r="F174" s="139" t="s">
        <v>1234</v>
      </c>
      <c r="G174" s="140" t="s">
        <v>156</v>
      </c>
      <c r="H174" s="141">
        <f>H177</f>
        <v>3</v>
      </c>
      <c r="I174" s="142"/>
      <c r="J174" s="142">
        <f>ROUND(I174*H174,2)</f>
        <v>0</v>
      </c>
      <c r="K174" s="139" t="s">
        <v>151</v>
      </c>
      <c r="L174" s="32"/>
      <c r="M174" s="143" t="s">
        <v>3</v>
      </c>
      <c r="N174" s="144" t="s">
        <v>46</v>
      </c>
      <c r="O174" s="145">
        <v>0.287</v>
      </c>
      <c r="P174" s="145">
        <f>O174*H174</f>
        <v>0.861</v>
      </c>
      <c r="Q174" s="145">
        <v>0.0251</v>
      </c>
      <c r="R174" s="145">
        <f>Q174*H174</f>
        <v>0.0753</v>
      </c>
      <c r="S174" s="145">
        <v>0</v>
      </c>
      <c r="T174" s="146">
        <f>S174*H174</f>
        <v>0</v>
      </c>
      <c r="U174" s="31"/>
      <c r="V174" s="31"/>
      <c r="W174" s="31"/>
      <c r="X174" s="31"/>
      <c r="Y174" s="31"/>
      <c r="Z174" s="31"/>
      <c r="AA174" s="31"/>
      <c r="AB174" s="31"/>
      <c r="AC174" s="31"/>
      <c r="AD174" s="31"/>
      <c r="AE174" s="31"/>
      <c r="AR174" s="147" t="s">
        <v>218</v>
      </c>
      <c r="AT174" s="147" t="s">
        <v>147</v>
      </c>
      <c r="AU174" s="147" t="s">
        <v>85</v>
      </c>
      <c r="AY174" s="19" t="s">
        <v>144</v>
      </c>
      <c r="BE174" s="148">
        <f>IF(N174="základní",J174,0)</f>
        <v>0</v>
      </c>
      <c r="BF174" s="148">
        <f>IF(N174="snížená",J174,0)</f>
        <v>0</v>
      </c>
      <c r="BG174" s="148">
        <f>IF(N174="zákl. přenesená",J174,0)</f>
        <v>0</v>
      </c>
      <c r="BH174" s="148">
        <f>IF(N174="sníž. přenesená",J174,0)</f>
        <v>0</v>
      </c>
      <c r="BI174" s="148">
        <f>IF(N174="nulová",J174,0)</f>
        <v>0</v>
      </c>
      <c r="BJ174" s="19" t="s">
        <v>83</v>
      </c>
      <c r="BK174" s="148">
        <f>ROUND(I174*H174,2)</f>
        <v>0</v>
      </c>
      <c r="BL174" s="19" t="s">
        <v>218</v>
      </c>
      <c r="BM174" s="147" t="s">
        <v>1235</v>
      </c>
    </row>
    <row r="175" spans="1:47" s="2" customFormat="1" ht="78">
      <c r="A175" s="31"/>
      <c r="B175" s="32"/>
      <c r="C175" s="31"/>
      <c r="D175" s="150" t="s">
        <v>158</v>
      </c>
      <c r="E175" s="31"/>
      <c r="F175" s="163" t="s">
        <v>1236</v>
      </c>
      <c r="G175" s="31"/>
      <c r="H175" s="31"/>
      <c r="I175" s="31"/>
      <c r="J175" s="31"/>
      <c r="K175" s="31"/>
      <c r="L175" s="32"/>
      <c r="M175" s="164"/>
      <c r="N175" s="165"/>
      <c r="O175" s="52"/>
      <c r="P175" s="52"/>
      <c r="Q175" s="52"/>
      <c r="R175" s="52"/>
      <c r="S175" s="52"/>
      <c r="T175" s="53"/>
      <c r="U175" s="31"/>
      <c r="V175" s="31"/>
      <c r="W175" s="31"/>
      <c r="X175" s="31"/>
      <c r="Y175" s="31"/>
      <c r="Z175" s="31"/>
      <c r="AA175" s="31"/>
      <c r="AB175" s="31"/>
      <c r="AC175" s="31"/>
      <c r="AD175" s="31"/>
      <c r="AE175" s="31"/>
      <c r="AT175" s="19" t="s">
        <v>158</v>
      </c>
      <c r="AU175" s="19" t="s">
        <v>85</v>
      </c>
    </row>
    <row r="176" spans="2:51" s="13" customFormat="1" ht="12">
      <c r="B176" s="149"/>
      <c r="D176" s="150" t="s">
        <v>154</v>
      </c>
      <c r="E176" s="151" t="s">
        <v>3</v>
      </c>
      <c r="F176" s="152" t="s">
        <v>1171</v>
      </c>
      <c r="H176" s="151" t="s">
        <v>3</v>
      </c>
      <c r="L176" s="149"/>
      <c r="M176" s="153"/>
      <c r="N176" s="154"/>
      <c r="O176" s="154"/>
      <c r="P176" s="154"/>
      <c r="Q176" s="154"/>
      <c r="R176" s="154"/>
      <c r="S176" s="154"/>
      <c r="T176" s="155"/>
      <c r="AT176" s="151" t="s">
        <v>154</v>
      </c>
      <c r="AU176" s="151" t="s">
        <v>85</v>
      </c>
      <c r="AV176" s="13" t="s">
        <v>83</v>
      </c>
      <c r="AW176" s="13" t="s">
        <v>37</v>
      </c>
      <c r="AX176" s="13" t="s">
        <v>75</v>
      </c>
      <c r="AY176" s="151" t="s">
        <v>144</v>
      </c>
    </row>
    <row r="177" spans="2:51" s="14" customFormat="1" ht="12">
      <c r="B177" s="156"/>
      <c r="D177" s="150" t="s">
        <v>154</v>
      </c>
      <c r="E177" s="157" t="s">
        <v>3</v>
      </c>
      <c r="F177" s="158" t="s">
        <v>1232</v>
      </c>
      <c r="H177" s="159">
        <v>3</v>
      </c>
      <c r="L177" s="156"/>
      <c r="M177" s="160"/>
      <c r="N177" s="161"/>
      <c r="O177" s="161"/>
      <c r="P177" s="161"/>
      <c r="Q177" s="161"/>
      <c r="R177" s="161"/>
      <c r="S177" s="161"/>
      <c r="T177" s="162"/>
      <c r="AT177" s="157" t="s">
        <v>154</v>
      </c>
      <c r="AU177" s="157" t="s">
        <v>85</v>
      </c>
      <c r="AV177" s="14" t="s">
        <v>85</v>
      </c>
      <c r="AW177" s="14" t="s">
        <v>37</v>
      </c>
      <c r="AX177" s="14" t="s">
        <v>83</v>
      </c>
      <c r="AY177" s="157" t="s">
        <v>144</v>
      </c>
    </row>
    <row r="178" spans="1:65" s="2" customFormat="1" ht="37.9" customHeight="1">
      <c r="A178" s="31"/>
      <c r="B178" s="136"/>
      <c r="C178" s="137">
        <v>29</v>
      </c>
      <c r="D178" s="137" t="s">
        <v>147</v>
      </c>
      <c r="E178" s="138" t="s">
        <v>1237</v>
      </c>
      <c r="F178" s="139" t="s">
        <v>1238</v>
      </c>
      <c r="G178" s="140" t="s">
        <v>387</v>
      </c>
      <c r="H178" s="141">
        <f>SUM(I154:I175)/100</f>
        <v>0</v>
      </c>
      <c r="I178" s="142"/>
      <c r="J178" s="142">
        <f>ROUND(I178*H178,2)</f>
        <v>0</v>
      </c>
      <c r="K178" s="139" t="s">
        <v>157</v>
      </c>
      <c r="L178" s="32"/>
      <c r="M178" s="143" t="s">
        <v>3</v>
      </c>
      <c r="N178" s="144" t="s">
        <v>46</v>
      </c>
      <c r="O178" s="145">
        <v>0</v>
      </c>
      <c r="P178" s="145">
        <f>O178*H178</f>
        <v>0</v>
      </c>
      <c r="Q178" s="145">
        <v>0</v>
      </c>
      <c r="R178" s="145">
        <f>Q178*H178</f>
        <v>0</v>
      </c>
      <c r="S178" s="145">
        <v>0</v>
      </c>
      <c r="T178" s="146">
        <f>S178*H178</f>
        <v>0</v>
      </c>
      <c r="U178" s="31"/>
      <c r="V178" s="31"/>
      <c r="W178" s="31"/>
      <c r="X178" s="31"/>
      <c r="Y178" s="31"/>
      <c r="Z178" s="31"/>
      <c r="AA178" s="31"/>
      <c r="AB178" s="31"/>
      <c r="AC178" s="31"/>
      <c r="AD178" s="31"/>
      <c r="AE178" s="31"/>
      <c r="AR178" s="147" t="s">
        <v>218</v>
      </c>
      <c r="AT178" s="147" t="s">
        <v>147</v>
      </c>
      <c r="AU178" s="147" t="s">
        <v>85</v>
      </c>
      <c r="AY178" s="19" t="s">
        <v>144</v>
      </c>
      <c r="BE178" s="148">
        <f>IF(N178="základní",J178,0)</f>
        <v>0</v>
      </c>
      <c r="BF178" s="148">
        <f>IF(N178="snížená",J178,0)</f>
        <v>0</v>
      </c>
      <c r="BG178" s="148">
        <f>IF(N178="zákl. přenesená",J178,0)</f>
        <v>0</v>
      </c>
      <c r="BH178" s="148">
        <f>IF(N178="sníž. přenesená",J178,0)</f>
        <v>0</v>
      </c>
      <c r="BI178" s="148">
        <f>IF(N178="nulová",J178,0)</f>
        <v>0</v>
      </c>
      <c r="BJ178" s="19" t="s">
        <v>83</v>
      </c>
      <c r="BK178" s="148">
        <f>ROUND(I178*H178,2)</f>
        <v>0</v>
      </c>
      <c r="BL178" s="19" t="s">
        <v>218</v>
      </c>
      <c r="BM178" s="147" t="s">
        <v>1239</v>
      </c>
    </row>
    <row r="179" spans="1:47" s="2" customFormat="1" ht="126.75">
      <c r="A179" s="31"/>
      <c r="B179" s="32"/>
      <c r="C179" s="31"/>
      <c r="D179" s="150" t="s">
        <v>158</v>
      </c>
      <c r="E179" s="31"/>
      <c r="F179" s="163" t="s">
        <v>661</v>
      </c>
      <c r="G179" s="31"/>
      <c r="H179" s="31"/>
      <c r="I179" s="31"/>
      <c r="J179" s="31"/>
      <c r="K179" s="31"/>
      <c r="L179" s="32"/>
      <c r="M179" s="164"/>
      <c r="N179" s="165"/>
      <c r="O179" s="52"/>
      <c r="P179" s="52"/>
      <c r="Q179" s="52"/>
      <c r="R179" s="52"/>
      <c r="S179" s="52"/>
      <c r="T179" s="53"/>
      <c r="U179" s="31"/>
      <c r="V179" s="31"/>
      <c r="W179" s="31"/>
      <c r="X179" s="31"/>
      <c r="Y179" s="31"/>
      <c r="Z179" s="31"/>
      <c r="AA179" s="31"/>
      <c r="AB179" s="31"/>
      <c r="AC179" s="31"/>
      <c r="AD179" s="31"/>
      <c r="AE179" s="31"/>
      <c r="AT179" s="19" t="s">
        <v>158</v>
      </c>
      <c r="AU179" s="19" t="s">
        <v>85</v>
      </c>
    </row>
    <row r="180" spans="1:65" s="2" customFormat="1" ht="49.15" customHeight="1">
      <c r="A180" s="31"/>
      <c r="B180" s="136"/>
      <c r="C180" s="137">
        <v>30</v>
      </c>
      <c r="D180" s="137" t="s">
        <v>147</v>
      </c>
      <c r="E180" s="138" t="s">
        <v>1240</v>
      </c>
      <c r="F180" s="139" t="s">
        <v>1241</v>
      </c>
      <c r="G180" s="140" t="s">
        <v>387</v>
      </c>
      <c r="H180" s="141">
        <f>H178</f>
        <v>0</v>
      </c>
      <c r="I180" s="142"/>
      <c r="J180" s="142">
        <f>ROUND(I180*H180,2)</f>
        <v>0</v>
      </c>
      <c r="K180" s="139" t="s">
        <v>157</v>
      </c>
      <c r="L180" s="32"/>
      <c r="M180" s="143" t="s">
        <v>3</v>
      </c>
      <c r="N180" s="144" t="s">
        <v>46</v>
      </c>
      <c r="O180" s="145">
        <v>0</v>
      </c>
      <c r="P180" s="145">
        <f>O180*H180</f>
        <v>0</v>
      </c>
      <c r="Q180" s="145">
        <v>0</v>
      </c>
      <c r="R180" s="145">
        <f>Q180*H180</f>
        <v>0</v>
      </c>
      <c r="S180" s="145">
        <v>0</v>
      </c>
      <c r="T180" s="146">
        <f>S180*H180</f>
        <v>0</v>
      </c>
      <c r="U180" s="31"/>
      <c r="V180" s="31"/>
      <c r="W180" s="31"/>
      <c r="X180" s="31"/>
      <c r="Y180" s="31"/>
      <c r="Z180" s="31"/>
      <c r="AA180" s="31"/>
      <c r="AB180" s="31"/>
      <c r="AC180" s="31"/>
      <c r="AD180" s="31"/>
      <c r="AE180" s="31"/>
      <c r="AR180" s="147" t="s">
        <v>218</v>
      </c>
      <c r="AT180" s="147" t="s">
        <v>147</v>
      </c>
      <c r="AU180" s="147" t="s">
        <v>85</v>
      </c>
      <c r="AY180" s="19" t="s">
        <v>144</v>
      </c>
      <c r="BE180" s="148">
        <f>IF(N180="základní",J180,0)</f>
        <v>0</v>
      </c>
      <c r="BF180" s="148">
        <f>IF(N180="snížená",J180,0)</f>
        <v>0</v>
      </c>
      <c r="BG180" s="148">
        <f>IF(N180="zákl. přenesená",J180,0)</f>
        <v>0</v>
      </c>
      <c r="BH180" s="148">
        <f>IF(N180="sníž. přenesená",J180,0)</f>
        <v>0</v>
      </c>
      <c r="BI180" s="148">
        <f>IF(N180="nulová",J180,0)</f>
        <v>0</v>
      </c>
      <c r="BJ180" s="19" t="s">
        <v>83</v>
      </c>
      <c r="BK180" s="148">
        <f>ROUND(I180*H180,2)</f>
        <v>0</v>
      </c>
      <c r="BL180" s="19" t="s">
        <v>218</v>
      </c>
      <c r="BM180" s="147" t="s">
        <v>1242</v>
      </c>
    </row>
    <row r="181" spans="1:47" s="2" customFormat="1" ht="126.75">
      <c r="A181" s="31"/>
      <c r="B181" s="32"/>
      <c r="C181" s="31"/>
      <c r="D181" s="150" t="s">
        <v>158</v>
      </c>
      <c r="E181" s="31"/>
      <c r="F181" s="163" t="s">
        <v>661</v>
      </c>
      <c r="G181" s="31"/>
      <c r="H181" s="31"/>
      <c r="I181" s="31"/>
      <c r="J181" s="31"/>
      <c r="K181" s="31"/>
      <c r="L181" s="32"/>
      <c r="M181" s="164"/>
      <c r="N181" s="165"/>
      <c r="O181" s="52"/>
      <c r="P181" s="52"/>
      <c r="Q181" s="52"/>
      <c r="R181" s="52"/>
      <c r="S181" s="52"/>
      <c r="T181" s="53"/>
      <c r="U181" s="31"/>
      <c r="V181" s="31"/>
      <c r="W181" s="31"/>
      <c r="X181" s="31"/>
      <c r="Y181" s="31"/>
      <c r="Z181" s="31"/>
      <c r="AA181" s="31"/>
      <c r="AB181" s="31"/>
      <c r="AC181" s="31"/>
      <c r="AD181" s="31"/>
      <c r="AE181" s="31"/>
      <c r="AT181" s="19" t="s">
        <v>158</v>
      </c>
      <c r="AU181" s="19" t="s">
        <v>85</v>
      </c>
    </row>
    <row r="182" spans="2:63" s="12" customFormat="1" ht="22.9" customHeight="1">
      <c r="B182" s="124"/>
      <c r="D182" s="125" t="s">
        <v>74</v>
      </c>
      <c r="E182" s="134" t="s">
        <v>775</v>
      </c>
      <c r="F182" s="134" t="s">
        <v>776</v>
      </c>
      <c r="J182" s="135">
        <f>BK182</f>
        <v>0</v>
      </c>
      <c r="L182" s="124"/>
      <c r="M182" s="128"/>
      <c r="N182" s="129"/>
      <c r="O182" s="129"/>
      <c r="P182" s="130">
        <f>SUM(P183:P185)</f>
        <v>1.1622</v>
      </c>
      <c r="Q182" s="129"/>
      <c r="R182" s="130">
        <f>SUM(R183:R185)</f>
        <v>0.0011920000000000001</v>
      </c>
      <c r="S182" s="129"/>
      <c r="T182" s="131">
        <f>SUM(T183:T185)</f>
        <v>0</v>
      </c>
      <c r="AR182" s="125" t="s">
        <v>85</v>
      </c>
      <c r="AT182" s="132" t="s">
        <v>74</v>
      </c>
      <c r="AU182" s="132" t="s">
        <v>83</v>
      </c>
      <c r="AY182" s="125" t="s">
        <v>144</v>
      </c>
      <c r="BK182" s="133">
        <f>SUM(BK183:BK185)</f>
        <v>0</v>
      </c>
    </row>
    <row r="183" spans="1:65" s="2" customFormat="1" ht="37.9" customHeight="1">
      <c r="A183" s="31"/>
      <c r="B183" s="136"/>
      <c r="C183" s="137">
        <v>31</v>
      </c>
      <c r="D183" s="137" t="s">
        <v>147</v>
      </c>
      <c r="E183" s="138" t="s">
        <v>1243</v>
      </c>
      <c r="F183" s="139" t="s">
        <v>1244</v>
      </c>
      <c r="G183" s="140" t="s">
        <v>201</v>
      </c>
      <c r="H183" s="141">
        <f>H134</f>
        <v>29.8</v>
      </c>
      <c r="I183" s="142"/>
      <c r="J183" s="142">
        <f>ROUND(I183*H183,2)</f>
        <v>0</v>
      </c>
      <c r="K183" s="139" t="s">
        <v>157</v>
      </c>
      <c r="L183" s="32"/>
      <c r="M183" s="143" t="s">
        <v>3</v>
      </c>
      <c r="N183" s="144" t="s">
        <v>46</v>
      </c>
      <c r="O183" s="145">
        <v>0.011</v>
      </c>
      <c r="P183" s="145">
        <f>O183*H183</f>
        <v>0.3278</v>
      </c>
      <c r="Q183" s="145">
        <v>2E-05</v>
      </c>
      <c r="R183" s="145">
        <f>Q183*H183</f>
        <v>0.0005960000000000001</v>
      </c>
      <c r="S183" s="145">
        <v>0</v>
      </c>
      <c r="T183" s="146">
        <f>S183*H183</f>
        <v>0</v>
      </c>
      <c r="U183" s="31"/>
      <c r="V183" s="31"/>
      <c r="W183" s="31"/>
      <c r="X183" s="31"/>
      <c r="Y183" s="31"/>
      <c r="Z183" s="31"/>
      <c r="AA183" s="31"/>
      <c r="AB183" s="31"/>
      <c r="AC183" s="31"/>
      <c r="AD183" s="31"/>
      <c r="AE183" s="31"/>
      <c r="AR183" s="147" t="s">
        <v>218</v>
      </c>
      <c r="AT183" s="147" t="s">
        <v>147</v>
      </c>
      <c r="AU183" s="147" t="s">
        <v>85</v>
      </c>
      <c r="AY183" s="19" t="s">
        <v>144</v>
      </c>
      <c r="BE183" s="148">
        <f>IF(N183="základní",J183,0)</f>
        <v>0</v>
      </c>
      <c r="BF183" s="148">
        <f>IF(N183="snížená",J183,0)</f>
        <v>0</v>
      </c>
      <c r="BG183" s="148">
        <f>IF(N183="zákl. přenesená",J183,0)</f>
        <v>0</v>
      </c>
      <c r="BH183" s="148">
        <f>IF(N183="sníž. přenesená",J183,0)</f>
        <v>0</v>
      </c>
      <c r="BI183" s="148">
        <f>IF(N183="nulová",J183,0)</f>
        <v>0</v>
      </c>
      <c r="BJ183" s="19" t="s">
        <v>83</v>
      </c>
      <c r="BK183" s="148">
        <f>ROUND(I183*H183,2)</f>
        <v>0</v>
      </c>
      <c r="BL183" s="19" t="s">
        <v>218</v>
      </c>
      <c r="BM183" s="147" t="s">
        <v>1245</v>
      </c>
    </row>
    <row r="184" spans="2:51" s="13" customFormat="1" ht="12">
      <c r="B184" s="149"/>
      <c r="D184" s="150" t="s">
        <v>154</v>
      </c>
      <c r="E184" s="151" t="s">
        <v>3</v>
      </c>
      <c r="F184" s="152" t="s">
        <v>216</v>
      </c>
      <c r="H184" s="151" t="s">
        <v>3</v>
      </c>
      <c r="L184" s="149"/>
      <c r="M184" s="153"/>
      <c r="N184" s="154"/>
      <c r="O184" s="154"/>
      <c r="P184" s="154"/>
      <c r="Q184" s="154"/>
      <c r="R184" s="154"/>
      <c r="S184" s="154"/>
      <c r="T184" s="155"/>
      <c r="AT184" s="151" t="s">
        <v>154</v>
      </c>
      <c r="AU184" s="151" t="s">
        <v>85</v>
      </c>
      <c r="AV184" s="13" t="s">
        <v>83</v>
      </c>
      <c r="AW184" s="13" t="s">
        <v>37</v>
      </c>
      <c r="AX184" s="13" t="s">
        <v>75</v>
      </c>
      <c r="AY184" s="151" t="s">
        <v>144</v>
      </c>
    </row>
    <row r="185" spans="1:65" s="2" customFormat="1" ht="24.2" customHeight="1">
      <c r="A185" s="31"/>
      <c r="B185" s="136"/>
      <c r="C185" s="137">
        <v>32</v>
      </c>
      <c r="D185" s="137" t="s">
        <v>147</v>
      </c>
      <c r="E185" s="138" t="s">
        <v>1246</v>
      </c>
      <c r="F185" s="139" t="s">
        <v>1247</v>
      </c>
      <c r="G185" s="140" t="s">
        <v>201</v>
      </c>
      <c r="H185" s="141">
        <f>H183</f>
        <v>29.8</v>
      </c>
      <c r="I185" s="142"/>
      <c r="J185" s="142">
        <f>ROUND(I185*H185,2)</f>
        <v>0</v>
      </c>
      <c r="K185" s="139" t="s">
        <v>157</v>
      </c>
      <c r="L185" s="32"/>
      <c r="M185" s="143" t="s">
        <v>3</v>
      </c>
      <c r="N185" s="144" t="s">
        <v>46</v>
      </c>
      <c r="O185" s="145">
        <v>0.028</v>
      </c>
      <c r="P185" s="145">
        <f>O185*H185</f>
        <v>0.8344</v>
      </c>
      <c r="Q185" s="145">
        <v>2E-05</v>
      </c>
      <c r="R185" s="145">
        <f>Q185*H185</f>
        <v>0.0005960000000000001</v>
      </c>
      <c r="S185" s="145">
        <v>0</v>
      </c>
      <c r="T185" s="146">
        <f>S185*H185</f>
        <v>0</v>
      </c>
      <c r="U185" s="31"/>
      <c r="V185" s="31"/>
      <c r="W185" s="31"/>
      <c r="X185" s="31"/>
      <c r="Y185" s="31"/>
      <c r="Z185" s="31"/>
      <c r="AA185" s="31"/>
      <c r="AB185" s="31"/>
      <c r="AC185" s="31"/>
      <c r="AD185" s="31"/>
      <c r="AE185" s="31"/>
      <c r="AR185" s="147" t="s">
        <v>218</v>
      </c>
      <c r="AT185" s="147" t="s">
        <v>147</v>
      </c>
      <c r="AU185" s="147" t="s">
        <v>85</v>
      </c>
      <c r="AY185" s="19" t="s">
        <v>144</v>
      </c>
      <c r="BE185" s="148">
        <f>IF(N185="základní",J185,0)</f>
        <v>0</v>
      </c>
      <c r="BF185" s="148">
        <f>IF(N185="snížená",J185,0)</f>
        <v>0</v>
      </c>
      <c r="BG185" s="148">
        <f>IF(N185="zákl. přenesená",J185,0)</f>
        <v>0</v>
      </c>
      <c r="BH185" s="148">
        <f>IF(N185="sníž. přenesená",J185,0)</f>
        <v>0</v>
      </c>
      <c r="BI185" s="148">
        <f>IF(N185="nulová",J185,0)</f>
        <v>0</v>
      </c>
      <c r="BJ185" s="19" t="s">
        <v>83</v>
      </c>
      <c r="BK185" s="148">
        <f>ROUND(I185*H185,2)</f>
        <v>0</v>
      </c>
      <c r="BL185" s="19" t="s">
        <v>218</v>
      </c>
      <c r="BM185" s="147" t="s">
        <v>1248</v>
      </c>
    </row>
    <row r="186" spans="2:63" s="12" customFormat="1" ht="25.9" customHeight="1">
      <c r="B186" s="124"/>
      <c r="D186" s="125" t="s">
        <v>74</v>
      </c>
      <c r="E186" s="126" t="s">
        <v>1149</v>
      </c>
      <c r="F186" s="126" t="s">
        <v>1150</v>
      </c>
      <c r="J186" s="127">
        <f>BK186</f>
        <v>0</v>
      </c>
      <c r="L186" s="124"/>
      <c r="M186" s="128"/>
      <c r="N186" s="129"/>
      <c r="O186" s="129"/>
      <c r="P186" s="130">
        <f>SUM(P187:P192)</f>
        <v>24</v>
      </c>
      <c r="Q186" s="129"/>
      <c r="R186" s="130">
        <f>SUM(R187:R192)</f>
        <v>0</v>
      </c>
      <c r="S186" s="129"/>
      <c r="T186" s="131">
        <f>SUM(T187:T192)</f>
        <v>0</v>
      </c>
      <c r="AR186" s="125" t="s">
        <v>152</v>
      </c>
      <c r="AT186" s="132" t="s">
        <v>74</v>
      </c>
      <c r="AU186" s="132" t="s">
        <v>75</v>
      </c>
      <c r="AY186" s="125" t="s">
        <v>144</v>
      </c>
      <c r="BK186" s="133">
        <f>SUM(BK187:BK192)</f>
        <v>0</v>
      </c>
    </row>
    <row r="187" spans="1:65" s="2" customFormat="1" ht="24.2" customHeight="1">
      <c r="A187" s="31"/>
      <c r="B187" s="136"/>
      <c r="C187" s="137">
        <v>33</v>
      </c>
      <c r="D187" s="137" t="s">
        <v>147</v>
      </c>
      <c r="E187" s="138" t="s">
        <v>1151</v>
      </c>
      <c r="F187" s="139" t="s">
        <v>1152</v>
      </c>
      <c r="G187" s="140" t="s">
        <v>1153</v>
      </c>
      <c r="H187" s="141">
        <v>8</v>
      </c>
      <c r="I187" s="142"/>
      <c r="J187" s="142">
        <f>ROUND(I187*H187,2)</f>
        <v>0</v>
      </c>
      <c r="K187" s="139" t="s">
        <v>157</v>
      </c>
      <c r="L187" s="32"/>
      <c r="M187" s="143" t="s">
        <v>3</v>
      </c>
      <c r="N187" s="144" t="s">
        <v>46</v>
      </c>
      <c r="O187" s="145">
        <v>1</v>
      </c>
      <c r="P187" s="145">
        <f>O187*H187</f>
        <v>8</v>
      </c>
      <c r="Q187" s="145">
        <v>0</v>
      </c>
      <c r="R187" s="145">
        <f>Q187*H187</f>
        <v>0</v>
      </c>
      <c r="S187" s="145">
        <v>0</v>
      </c>
      <c r="T187" s="146">
        <f>S187*H187</f>
        <v>0</v>
      </c>
      <c r="U187" s="31"/>
      <c r="V187" s="31"/>
      <c r="W187" s="31"/>
      <c r="X187" s="31"/>
      <c r="Y187" s="31"/>
      <c r="Z187" s="31"/>
      <c r="AA187" s="31"/>
      <c r="AB187" s="31"/>
      <c r="AC187" s="31"/>
      <c r="AD187" s="31"/>
      <c r="AE187" s="31"/>
      <c r="AR187" s="147" t="s">
        <v>1154</v>
      </c>
      <c r="AT187" s="147" t="s">
        <v>147</v>
      </c>
      <c r="AU187" s="147" t="s">
        <v>83</v>
      </c>
      <c r="AY187" s="19" t="s">
        <v>144</v>
      </c>
      <c r="BE187" s="148">
        <f>IF(N187="základní",J187,0)</f>
        <v>0</v>
      </c>
      <c r="BF187" s="148">
        <f>IF(N187="snížená",J187,0)</f>
        <v>0</v>
      </c>
      <c r="BG187" s="148">
        <f>IF(N187="zákl. přenesená",J187,0)</f>
        <v>0</v>
      </c>
      <c r="BH187" s="148">
        <f>IF(N187="sníž. přenesená",J187,0)</f>
        <v>0</v>
      </c>
      <c r="BI187" s="148">
        <f>IF(N187="nulová",J187,0)</f>
        <v>0</v>
      </c>
      <c r="BJ187" s="19" t="s">
        <v>83</v>
      </c>
      <c r="BK187" s="148">
        <f>ROUND(I187*H187,2)</f>
        <v>0</v>
      </c>
      <c r="BL187" s="19" t="s">
        <v>1154</v>
      </c>
      <c r="BM187" s="147" t="s">
        <v>1249</v>
      </c>
    </row>
    <row r="188" spans="1:47" s="2" customFormat="1" ht="19.5">
      <c r="A188" s="31"/>
      <c r="B188" s="32"/>
      <c r="C188" s="31"/>
      <c r="D188" s="150" t="s">
        <v>270</v>
      </c>
      <c r="E188" s="31"/>
      <c r="F188" s="163" t="s">
        <v>1156</v>
      </c>
      <c r="G188" s="31"/>
      <c r="H188" s="31"/>
      <c r="I188" s="31"/>
      <c r="J188" s="31"/>
      <c r="K188" s="31"/>
      <c r="L188" s="32"/>
      <c r="M188" s="164"/>
      <c r="N188" s="165"/>
      <c r="O188" s="52"/>
      <c r="P188" s="52"/>
      <c r="Q188" s="52"/>
      <c r="R188" s="52"/>
      <c r="S188" s="52"/>
      <c r="T188" s="53"/>
      <c r="U188" s="31"/>
      <c r="V188" s="31"/>
      <c r="W188" s="31"/>
      <c r="X188" s="31"/>
      <c r="Y188" s="31"/>
      <c r="Z188" s="31"/>
      <c r="AA188" s="31"/>
      <c r="AB188" s="31"/>
      <c r="AC188" s="31"/>
      <c r="AD188" s="31"/>
      <c r="AE188" s="31"/>
      <c r="AT188" s="19" t="s">
        <v>270</v>
      </c>
      <c r="AU188" s="19" t="s">
        <v>83</v>
      </c>
    </row>
    <row r="189" spans="1:65" s="2" customFormat="1" ht="24.2" customHeight="1">
      <c r="A189" s="31"/>
      <c r="B189" s="136"/>
      <c r="C189" s="137">
        <v>34</v>
      </c>
      <c r="D189" s="137" t="s">
        <v>147</v>
      </c>
      <c r="E189" s="138" t="s">
        <v>1250</v>
      </c>
      <c r="F189" s="139" t="s">
        <v>1251</v>
      </c>
      <c r="G189" s="140" t="s">
        <v>1153</v>
      </c>
      <c r="H189" s="141">
        <v>8</v>
      </c>
      <c r="I189" s="142"/>
      <c r="J189" s="142">
        <f>ROUND(I189*H189,2)</f>
        <v>0</v>
      </c>
      <c r="K189" s="139" t="s">
        <v>157</v>
      </c>
      <c r="L189" s="32"/>
      <c r="M189" s="143" t="s">
        <v>3</v>
      </c>
      <c r="N189" s="144" t="s">
        <v>46</v>
      </c>
      <c r="O189" s="145">
        <v>1</v>
      </c>
      <c r="P189" s="145">
        <f>O189*H189</f>
        <v>8</v>
      </c>
      <c r="Q189" s="145">
        <v>0</v>
      </c>
      <c r="R189" s="145">
        <f>Q189*H189</f>
        <v>0</v>
      </c>
      <c r="S189" s="145">
        <v>0</v>
      </c>
      <c r="T189" s="146">
        <f>S189*H189</f>
        <v>0</v>
      </c>
      <c r="U189" s="31"/>
      <c r="V189" s="31"/>
      <c r="W189" s="31"/>
      <c r="X189" s="31"/>
      <c r="Y189" s="31"/>
      <c r="Z189" s="31"/>
      <c r="AA189" s="31"/>
      <c r="AB189" s="31"/>
      <c r="AC189" s="31"/>
      <c r="AD189" s="31"/>
      <c r="AE189" s="31"/>
      <c r="AR189" s="147" t="s">
        <v>1154</v>
      </c>
      <c r="AT189" s="147" t="s">
        <v>147</v>
      </c>
      <c r="AU189" s="147" t="s">
        <v>83</v>
      </c>
      <c r="AY189" s="19" t="s">
        <v>144</v>
      </c>
      <c r="BE189" s="148">
        <f>IF(N189="základní",J189,0)</f>
        <v>0</v>
      </c>
      <c r="BF189" s="148">
        <f>IF(N189="snížená",J189,0)</f>
        <v>0</v>
      </c>
      <c r="BG189" s="148">
        <f>IF(N189="zákl. přenesená",J189,0)</f>
        <v>0</v>
      </c>
      <c r="BH189" s="148">
        <f>IF(N189="sníž. přenesená",J189,0)</f>
        <v>0</v>
      </c>
      <c r="BI189" s="148">
        <f>IF(N189="nulová",J189,0)</f>
        <v>0</v>
      </c>
      <c r="BJ189" s="19" t="s">
        <v>83</v>
      </c>
      <c r="BK189" s="148">
        <f>ROUND(I189*H189,2)</f>
        <v>0</v>
      </c>
      <c r="BL189" s="19" t="s">
        <v>1154</v>
      </c>
      <c r="BM189" s="147" t="s">
        <v>1252</v>
      </c>
    </row>
    <row r="190" spans="1:47" s="2" customFormat="1" ht="29.25">
      <c r="A190" s="31"/>
      <c r="B190" s="32"/>
      <c r="C190" s="31"/>
      <c r="D190" s="150" t="s">
        <v>270</v>
      </c>
      <c r="E190" s="31"/>
      <c r="F190" s="163" t="s">
        <v>1253</v>
      </c>
      <c r="G190" s="31"/>
      <c r="H190" s="31"/>
      <c r="I190" s="31"/>
      <c r="J190" s="31"/>
      <c r="K190" s="31"/>
      <c r="L190" s="32"/>
      <c r="M190" s="164"/>
      <c r="N190" s="165"/>
      <c r="O190" s="52"/>
      <c r="P190" s="52"/>
      <c r="Q190" s="52"/>
      <c r="R190" s="52"/>
      <c r="S190" s="52"/>
      <c r="T190" s="53"/>
      <c r="U190" s="31"/>
      <c r="V190" s="31"/>
      <c r="W190" s="31"/>
      <c r="X190" s="31"/>
      <c r="Y190" s="31"/>
      <c r="Z190" s="31"/>
      <c r="AA190" s="31"/>
      <c r="AB190" s="31"/>
      <c r="AC190" s="31"/>
      <c r="AD190" s="31"/>
      <c r="AE190" s="31"/>
      <c r="AT190" s="19" t="s">
        <v>270</v>
      </c>
      <c r="AU190" s="19" t="s">
        <v>83</v>
      </c>
    </row>
    <row r="191" spans="1:65" s="2" customFormat="1" ht="24.2" customHeight="1">
      <c r="A191" s="31"/>
      <c r="B191" s="136"/>
      <c r="C191" s="137">
        <v>35</v>
      </c>
      <c r="D191" s="137" t="s">
        <v>147</v>
      </c>
      <c r="E191" s="138" t="s">
        <v>1254</v>
      </c>
      <c r="F191" s="139" t="s">
        <v>1255</v>
      </c>
      <c r="G191" s="140" t="s">
        <v>1153</v>
      </c>
      <c r="H191" s="141">
        <v>8</v>
      </c>
      <c r="I191" s="142"/>
      <c r="J191" s="142">
        <f>ROUND(I191*H191,2)</f>
        <v>0</v>
      </c>
      <c r="K191" s="139" t="s">
        <v>157</v>
      </c>
      <c r="L191" s="32"/>
      <c r="M191" s="143" t="s">
        <v>3</v>
      </c>
      <c r="N191" s="144" t="s">
        <v>46</v>
      </c>
      <c r="O191" s="145">
        <v>1</v>
      </c>
      <c r="P191" s="145">
        <f>O191*H191</f>
        <v>8</v>
      </c>
      <c r="Q191" s="145">
        <v>0</v>
      </c>
      <c r="R191" s="145">
        <f>Q191*H191</f>
        <v>0</v>
      </c>
      <c r="S191" s="145">
        <v>0</v>
      </c>
      <c r="T191" s="146">
        <f>S191*H191</f>
        <v>0</v>
      </c>
      <c r="U191" s="31"/>
      <c r="V191" s="31"/>
      <c r="W191" s="31"/>
      <c r="X191" s="31"/>
      <c r="Y191" s="31"/>
      <c r="Z191" s="31"/>
      <c r="AA191" s="31"/>
      <c r="AB191" s="31"/>
      <c r="AC191" s="31"/>
      <c r="AD191" s="31"/>
      <c r="AE191" s="31"/>
      <c r="AR191" s="147" t="s">
        <v>1154</v>
      </c>
      <c r="AT191" s="147" t="s">
        <v>147</v>
      </c>
      <c r="AU191" s="147" t="s">
        <v>83</v>
      </c>
      <c r="AY191" s="19" t="s">
        <v>144</v>
      </c>
      <c r="BE191" s="148">
        <f>IF(N191="základní",J191,0)</f>
        <v>0</v>
      </c>
      <c r="BF191" s="148">
        <f>IF(N191="snížená",J191,0)</f>
        <v>0</v>
      </c>
      <c r="BG191" s="148">
        <f>IF(N191="zákl. přenesená",J191,0)</f>
        <v>0</v>
      </c>
      <c r="BH191" s="148">
        <f>IF(N191="sníž. přenesená",J191,0)</f>
        <v>0</v>
      </c>
      <c r="BI191" s="148">
        <f>IF(N191="nulová",J191,0)</f>
        <v>0</v>
      </c>
      <c r="BJ191" s="19" t="s">
        <v>83</v>
      </c>
      <c r="BK191" s="148">
        <f>ROUND(I191*H191,2)</f>
        <v>0</v>
      </c>
      <c r="BL191" s="19" t="s">
        <v>1154</v>
      </c>
      <c r="BM191" s="147" t="s">
        <v>1256</v>
      </c>
    </row>
    <row r="192" spans="1:47" s="2" customFormat="1" ht="19.5">
      <c r="A192" s="31"/>
      <c r="B192" s="32"/>
      <c r="C192" s="31"/>
      <c r="D192" s="150" t="s">
        <v>270</v>
      </c>
      <c r="E192" s="31"/>
      <c r="F192" s="163" t="s">
        <v>1257</v>
      </c>
      <c r="G192" s="31"/>
      <c r="H192" s="31"/>
      <c r="I192" s="31"/>
      <c r="J192" s="31"/>
      <c r="K192" s="31"/>
      <c r="L192" s="32"/>
      <c r="M192" s="189"/>
      <c r="N192" s="190"/>
      <c r="O192" s="191"/>
      <c r="P192" s="191"/>
      <c r="Q192" s="191"/>
      <c r="R192" s="191"/>
      <c r="S192" s="191"/>
      <c r="T192" s="192"/>
      <c r="U192" s="31"/>
      <c r="V192" s="31"/>
      <c r="W192" s="31"/>
      <c r="X192" s="31"/>
      <c r="Y192" s="31"/>
      <c r="Z192" s="31"/>
      <c r="AA192" s="31"/>
      <c r="AB192" s="31"/>
      <c r="AC192" s="31"/>
      <c r="AD192" s="31"/>
      <c r="AE192" s="31"/>
      <c r="AT192" s="19" t="s">
        <v>270</v>
      </c>
      <c r="AU192" s="19" t="s">
        <v>83</v>
      </c>
    </row>
    <row r="193" spans="1:31" s="2" customFormat="1" ht="6.95" customHeight="1">
      <c r="A193" s="31"/>
      <c r="B193" s="41"/>
      <c r="C193" s="42"/>
      <c r="D193" s="42"/>
      <c r="E193" s="42"/>
      <c r="F193" s="42"/>
      <c r="G193" s="42"/>
      <c r="H193" s="42"/>
      <c r="I193" s="42"/>
      <c r="J193" s="42"/>
      <c r="K193" s="42"/>
      <c r="L193" s="32"/>
      <c r="M193" s="31"/>
      <c r="O193" s="31"/>
      <c r="P193" s="31"/>
      <c r="Q193" s="31"/>
      <c r="R193" s="31"/>
      <c r="S193" s="31"/>
      <c r="T193" s="31"/>
      <c r="U193" s="31"/>
      <c r="V193" s="31"/>
      <c r="W193" s="31"/>
      <c r="X193" s="31"/>
      <c r="Y193" s="31"/>
      <c r="Z193" s="31"/>
      <c r="AA193" s="31"/>
      <c r="AB193" s="31"/>
      <c r="AC193" s="31"/>
      <c r="AD193" s="31"/>
      <c r="AE193" s="31"/>
    </row>
  </sheetData>
  <autoFilter ref="C90:K192"/>
  <mergeCells count="9">
    <mergeCell ref="E50:H50"/>
    <mergeCell ref="E81:H81"/>
    <mergeCell ref="E83:H83"/>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2" manualBreakCount="2">
    <brk id="115" min="2" max="16383" man="1"/>
    <brk id="138" min="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250"/>
  <sheetViews>
    <sheetView showGridLines="0" view="pageBreakPreview" zoomScale="80" zoomScaleSheetLayoutView="80" workbookViewId="0" topLeftCell="A70">
      <selection activeCell="I92" sqref="I92:I24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01" t="s">
        <v>6</v>
      </c>
      <c r="M2" s="302"/>
      <c r="N2" s="302"/>
      <c r="O2" s="302"/>
      <c r="P2" s="302"/>
      <c r="Q2" s="302"/>
      <c r="R2" s="302"/>
      <c r="S2" s="302"/>
      <c r="T2" s="302"/>
      <c r="U2" s="302"/>
      <c r="V2" s="302"/>
      <c r="AT2" s="19" t="s">
        <v>94</v>
      </c>
    </row>
    <row r="3" spans="2:46" s="1" customFormat="1" ht="6.95" customHeight="1">
      <c r="B3" s="20"/>
      <c r="C3" s="21"/>
      <c r="D3" s="21"/>
      <c r="E3" s="21"/>
      <c r="F3" s="21"/>
      <c r="G3" s="21"/>
      <c r="H3" s="21"/>
      <c r="I3" s="21"/>
      <c r="J3" s="21"/>
      <c r="K3" s="21"/>
      <c r="L3" s="22"/>
      <c r="AT3" s="19" t="s">
        <v>85</v>
      </c>
    </row>
    <row r="4" spans="2:46" s="1" customFormat="1" ht="24.95" customHeight="1">
      <c r="B4" s="22"/>
      <c r="D4" s="23" t="s">
        <v>104</v>
      </c>
      <c r="L4" s="22"/>
      <c r="M4" s="88" t="s">
        <v>11</v>
      </c>
      <c r="AT4" s="19" t="s">
        <v>4</v>
      </c>
    </row>
    <row r="5" spans="2:12" s="1" customFormat="1" ht="6.95" customHeight="1">
      <c r="B5" s="22"/>
      <c r="L5" s="22"/>
    </row>
    <row r="6" spans="2:12" s="1" customFormat="1" ht="12" customHeight="1">
      <c r="B6" s="22"/>
      <c r="D6" s="28" t="s">
        <v>15</v>
      </c>
      <c r="L6" s="22"/>
    </row>
    <row r="7" spans="2:12" s="1" customFormat="1" ht="23.25" customHeight="1">
      <c r="B7" s="22"/>
      <c r="E7" s="335" t="str">
        <f>'Rekapitulace stavby'!K6</f>
        <v>Rekonstrukce lékařských pokojů, skladových a technických prostor Nemocnice Nymburk s.r.o.</v>
      </c>
      <c r="F7" s="336"/>
      <c r="G7" s="336"/>
      <c r="H7" s="336"/>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5" t="s">
        <v>1258</v>
      </c>
      <c r="F9" s="334"/>
      <c r="G9" s="334"/>
      <c r="H9" s="334"/>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10" t="str">
        <f>'Rekapitulace stavby'!E14</f>
        <v xml:space="preserve"> </v>
      </c>
      <c r="F18" s="310"/>
      <c r="G18" s="310"/>
      <c r="H18" s="310"/>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12" t="s">
        <v>40</v>
      </c>
      <c r="F27" s="312"/>
      <c r="G27" s="312"/>
      <c r="H27" s="312"/>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ROUND(J89,2)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45</v>
      </c>
      <c r="E33" s="28" t="s">
        <v>46</v>
      </c>
      <c r="F33" s="95">
        <f>ROUND((SUM(BE89:BE249)),2)</f>
        <v>0</v>
      </c>
      <c r="G33" s="31"/>
      <c r="H33" s="31"/>
      <c r="I33" s="96">
        <v>0.21</v>
      </c>
      <c r="J33" s="95">
        <f>ROUND(((SUM(BE89:BE249))*I33),2)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47</v>
      </c>
      <c r="F34" s="95">
        <f>ROUND((SUM(BF89:BF249)),2)</f>
        <v>0</v>
      </c>
      <c r="G34" s="31"/>
      <c r="H34" s="31"/>
      <c r="I34" s="96">
        <v>0.15</v>
      </c>
      <c r="J34" s="95">
        <f>ROUND(((SUM(BF89:BF249))*I34),2)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48</v>
      </c>
      <c r="F35" s="95">
        <f>ROUND((SUM(BG89:BG249)),2)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49</v>
      </c>
      <c r="F36" s="95">
        <f>ROUND((SUM(BH89:BH249)),2)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50</v>
      </c>
      <c r="F37" s="95">
        <f>ROUND((SUM(BI89:BI249)),2)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35" t="str">
        <f>E7</f>
        <v>Rekonstrukce lékařských pokojů, skladových a technických prostor Nemocnice Nymburk s.r.o.</v>
      </c>
      <c r="F48" s="336"/>
      <c r="G48" s="336"/>
      <c r="H48" s="336"/>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5" t="str">
        <f>E9</f>
        <v>04 - Elektroinstalace</v>
      </c>
      <c r="F50" s="334"/>
      <c r="G50" s="334"/>
      <c r="H50" s="334"/>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73</v>
      </c>
      <c r="D59" s="31"/>
      <c r="E59" s="31"/>
      <c r="F59" s="31"/>
      <c r="G59" s="31"/>
      <c r="H59" s="31"/>
      <c r="I59" s="31"/>
      <c r="J59" s="65">
        <f>J89</f>
        <v>0</v>
      </c>
      <c r="K59" s="31"/>
      <c r="L59" s="89"/>
      <c r="S59" s="31"/>
      <c r="T59" s="31"/>
      <c r="U59" s="31"/>
      <c r="V59" s="31"/>
      <c r="W59" s="31"/>
      <c r="X59" s="31"/>
      <c r="Y59" s="31"/>
      <c r="Z59" s="31"/>
      <c r="AA59" s="31"/>
      <c r="AB59" s="31"/>
      <c r="AC59" s="31"/>
      <c r="AD59" s="31"/>
      <c r="AE59" s="31"/>
      <c r="AU59" s="19" t="s">
        <v>110</v>
      </c>
    </row>
    <row r="60" spans="2:12" s="9" customFormat="1" ht="24.95" customHeight="1">
      <c r="B60" s="106"/>
      <c r="D60" s="107" t="s">
        <v>111</v>
      </c>
      <c r="E60" s="108"/>
      <c r="F60" s="108"/>
      <c r="G60" s="108"/>
      <c r="H60" s="108"/>
      <c r="I60" s="108"/>
      <c r="J60" s="109">
        <f>J90</f>
        <v>0</v>
      </c>
      <c r="L60" s="106"/>
    </row>
    <row r="61" spans="2:12" s="10" customFormat="1" ht="19.9" customHeight="1">
      <c r="B61" s="110"/>
      <c r="D61" s="111" t="s">
        <v>112</v>
      </c>
      <c r="E61" s="112"/>
      <c r="F61" s="112"/>
      <c r="G61" s="112"/>
      <c r="H61" s="112"/>
      <c r="I61" s="112"/>
      <c r="J61" s="113">
        <f>J91</f>
        <v>0</v>
      </c>
      <c r="L61" s="110"/>
    </row>
    <row r="62" spans="2:12" s="10" customFormat="1" ht="19.9" customHeight="1">
      <c r="B62" s="110"/>
      <c r="D62" s="111" t="s">
        <v>113</v>
      </c>
      <c r="E62" s="112"/>
      <c r="F62" s="112"/>
      <c r="G62" s="112"/>
      <c r="H62" s="112"/>
      <c r="I62" s="112"/>
      <c r="J62" s="113">
        <f>J98</f>
        <v>0</v>
      </c>
      <c r="L62" s="110"/>
    </row>
    <row r="63" spans="2:12" s="10" customFormat="1" ht="19.9" customHeight="1">
      <c r="B63" s="110"/>
      <c r="D63" s="111" t="s">
        <v>114</v>
      </c>
      <c r="E63" s="112"/>
      <c r="F63" s="112"/>
      <c r="G63" s="112"/>
      <c r="H63" s="112"/>
      <c r="I63" s="112"/>
      <c r="J63" s="113">
        <f>J103</f>
        <v>0</v>
      </c>
      <c r="L63" s="110"/>
    </row>
    <row r="64" spans="2:12" s="10" customFormat="1" ht="19.9" customHeight="1">
      <c r="B64" s="110"/>
      <c r="D64" s="111" t="s">
        <v>115</v>
      </c>
      <c r="E64" s="112"/>
      <c r="F64" s="112"/>
      <c r="G64" s="112"/>
      <c r="H64" s="112"/>
      <c r="I64" s="112"/>
      <c r="J64" s="113">
        <f>J113</f>
        <v>0</v>
      </c>
      <c r="L64" s="110"/>
    </row>
    <row r="65" spans="2:12" s="10" customFormat="1" ht="19.9" customHeight="1">
      <c r="B65" s="110"/>
      <c r="D65" s="111" t="s">
        <v>116</v>
      </c>
      <c r="E65" s="112"/>
      <c r="F65" s="112"/>
      <c r="G65" s="112"/>
      <c r="H65" s="112"/>
      <c r="I65" s="112"/>
      <c r="J65" s="113">
        <f>J127</f>
        <v>0</v>
      </c>
      <c r="L65" s="110"/>
    </row>
    <row r="66" spans="2:12" s="9" customFormat="1" ht="24.95" customHeight="1">
      <c r="B66" s="106"/>
      <c r="D66" s="107" t="s">
        <v>117</v>
      </c>
      <c r="E66" s="108"/>
      <c r="F66" s="108"/>
      <c r="G66" s="108"/>
      <c r="H66" s="108"/>
      <c r="I66" s="108"/>
      <c r="J66" s="109">
        <f>J130</f>
        <v>0</v>
      </c>
      <c r="L66" s="106"/>
    </row>
    <row r="67" spans="2:12" s="10" customFormat="1" ht="19.9" customHeight="1">
      <c r="B67" s="110"/>
      <c r="D67" s="111" t="s">
        <v>1259</v>
      </c>
      <c r="E67" s="112"/>
      <c r="F67" s="112"/>
      <c r="G67" s="112"/>
      <c r="H67" s="112"/>
      <c r="I67" s="112"/>
      <c r="J67" s="113">
        <f>J131</f>
        <v>0</v>
      </c>
      <c r="L67" s="110"/>
    </row>
    <row r="68" spans="2:12" s="10" customFormat="1" ht="19.9" customHeight="1">
      <c r="B68" s="110"/>
      <c r="D68" s="111" t="s">
        <v>1260</v>
      </c>
      <c r="E68" s="112"/>
      <c r="F68" s="112"/>
      <c r="G68" s="112"/>
      <c r="H68" s="112"/>
      <c r="I68" s="112"/>
      <c r="J68" s="113">
        <f>J213</f>
        <v>0</v>
      </c>
      <c r="L68" s="110"/>
    </row>
    <row r="69" spans="2:12" s="9" customFormat="1" ht="24.95" customHeight="1">
      <c r="B69" s="106"/>
      <c r="D69" s="107" t="s">
        <v>878</v>
      </c>
      <c r="E69" s="108"/>
      <c r="F69" s="108"/>
      <c r="G69" s="108"/>
      <c r="H69" s="108"/>
      <c r="I69" s="108"/>
      <c r="J69" s="109">
        <f>J243</f>
        <v>0</v>
      </c>
      <c r="L69" s="106"/>
    </row>
    <row r="70" spans="1:31" s="2" customFormat="1" ht="21.7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6.95" customHeight="1">
      <c r="A71" s="31"/>
      <c r="B71" s="41"/>
      <c r="C71" s="42"/>
      <c r="D71" s="42"/>
      <c r="E71" s="42"/>
      <c r="F71" s="42"/>
      <c r="G71" s="42"/>
      <c r="H71" s="42"/>
      <c r="I71" s="42"/>
      <c r="J71" s="42"/>
      <c r="K71" s="42"/>
      <c r="L71" s="89"/>
      <c r="S71" s="31"/>
      <c r="T71" s="31"/>
      <c r="U71" s="31"/>
      <c r="V71" s="31"/>
      <c r="W71" s="31"/>
      <c r="X71" s="31"/>
      <c r="Y71" s="31"/>
      <c r="Z71" s="31"/>
      <c r="AA71" s="31"/>
      <c r="AB71" s="31"/>
      <c r="AC71" s="31"/>
      <c r="AD71" s="31"/>
      <c r="AE71" s="31"/>
    </row>
    <row r="75" spans="1:31" s="2" customFormat="1" ht="6.95" customHeight="1">
      <c r="A75" s="31"/>
      <c r="B75" s="43"/>
      <c r="C75" s="44"/>
      <c r="D75" s="44"/>
      <c r="E75" s="44"/>
      <c r="F75" s="44"/>
      <c r="G75" s="44"/>
      <c r="H75" s="44"/>
      <c r="I75" s="44"/>
      <c r="J75" s="44"/>
      <c r="K75" s="44"/>
      <c r="L75" s="89"/>
      <c r="S75" s="31"/>
      <c r="T75" s="31"/>
      <c r="U75" s="31"/>
      <c r="V75" s="31"/>
      <c r="W75" s="31"/>
      <c r="X75" s="31"/>
      <c r="Y75" s="31"/>
      <c r="Z75" s="31"/>
      <c r="AA75" s="31"/>
      <c r="AB75" s="31"/>
      <c r="AC75" s="31"/>
      <c r="AD75" s="31"/>
      <c r="AE75" s="31"/>
    </row>
    <row r="76" spans="1:31" s="2" customFormat="1" ht="24.95" customHeight="1">
      <c r="A76" s="31"/>
      <c r="B76" s="32"/>
      <c r="C76" s="23" t="s">
        <v>129</v>
      </c>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12" customHeight="1">
      <c r="A78" s="31"/>
      <c r="B78" s="32"/>
      <c r="C78" s="28" t="s">
        <v>15</v>
      </c>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23.25" customHeight="1">
      <c r="A79" s="31"/>
      <c r="B79" s="32"/>
      <c r="C79" s="31"/>
      <c r="D79" s="31"/>
      <c r="E79" s="335" t="str">
        <f>E7</f>
        <v>Rekonstrukce lékařských pokojů, skladových a technických prostor Nemocnice Nymburk s.r.o.</v>
      </c>
      <c r="F79" s="336"/>
      <c r="G79" s="336"/>
      <c r="H79" s="336"/>
      <c r="I79" s="31"/>
      <c r="J79" s="31"/>
      <c r="K79" s="31"/>
      <c r="L79" s="89"/>
      <c r="S79" s="31"/>
      <c r="T79" s="31"/>
      <c r="U79" s="31"/>
      <c r="V79" s="31"/>
      <c r="W79" s="31"/>
      <c r="X79" s="31"/>
      <c r="Y79" s="31"/>
      <c r="Z79" s="31"/>
      <c r="AA79" s="31"/>
      <c r="AB79" s="31"/>
      <c r="AC79" s="31"/>
      <c r="AD79" s="31"/>
      <c r="AE79" s="31"/>
    </row>
    <row r="80" spans="1:31" s="2" customFormat="1" ht="12" customHeight="1">
      <c r="A80" s="31"/>
      <c r="B80" s="32"/>
      <c r="C80" s="28" t="s">
        <v>105</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16.5" customHeight="1">
      <c r="A81" s="31"/>
      <c r="B81" s="32"/>
      <c r="C81" s="31"/>
      <c r="D81" s="31"/>
      <c r="E81" s="325" t="str">
        <f>E9</f>
        <v>04 - Elektroinstalace</v>
      </c>
      <c r="F81" s="334"/>
      <c r="G81" s="334"/>
      <c r="H81" s="334"/>
      <c r="I81" s="31"/>
      <c r="J81" s="31"/>
      <c r="K81" s="31"/>
      <c r="L81" s="89"/>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21</v>
      </c>
      <c r="D83" s="31"/>
      <c r="E83" s="31"/>
      <c r="F83" s="26" t="str">
        <f>F12</f>
        <v>Nymburk</v>
      </c>
      <c r="G83" s="31"/>
      <c r="H83" s="31"/>
      <c r="I83" s="28" t="s">
        <v>23</v>
      </c>
      <c r="J83" s="49" t="str">
        <f>IF(J12="","",J12)</f>
        <v>1. 9. 2020</v>
      </c>
      <c r="K83" s="31"/>
      <c r="L83" s="89"/>
      <c r="S83" s="31"/>
      <c r="T83" s="31"/>
      <c r="U83" s="31"/>
      <c r="V83" s="31"/>
      <c r="W83" s="31"/>
      <c r="X83" s="31"/>
      <c r="Y83" s="31"/>
      <c r="Z83" s="31"/>
      <c r="AA83" s="31"/>
      <c r="AB83" s="31"/>
      <c r="AC83" s="31"/>
      <c r="AD83" s="31"/>
      <c r="AE83" s="31"/>
    </row>
    <row r="84" spans="1:31" s="2" customFormat="1" ht="6.95" customHeight="1">
      <c r="A84" s="31"/>
      <c r="B84" s="32"/>
      <c r="C84" s="31"/>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25.7" customHeight="1">
      <c r="A85" s="31"/>
      <c r="B85" s="32"/>
      <c r="C85" s="28" t="s">
        <v>25</v>
      </c>
      <c r="D85" s="31"/>
      <c r="E85" s="31"/>
      <c r="F85" s="26" t="str">
        <f>E15</f>
        <v>Nemocnice Nymburk s.r.o.</v>
      </c>
      <c r="G85" s="31"/>
      <c r="H85" s="31"/>
      <c r="I85" s="28" t="s">
        <v>33</v>
      </c>
      <c r="J85" s="29" t="str">
        <f>E21</f>
        <v>Ing. arch. Pavel Petrák</v>
      </c>
      <c r="K85" s="31"/>
      <c r="L85" s="89"/>
      <c r="S85" s="31"/>
      <c r="T85" s="31"/>
      <c r="U85" s="31"/>
      <c r="V85" s="31"/>
      <c r="W85" s="31"/>
      <c r="X85" s="31"/>
      <c r="Y85" s="31"/>
      <c r="Z85" s="31"/>
      <c r="AA85" s="31"/>
      <c r="AB85" s="31"/>
      <c r="AC85" s="31"/>
      <c r="AD85" s="31"/>
      <c r="AE85" s="31"/>
    </row>
    <row r="86" spans="1:31" s="2" customFormat="1" ht="15.2" customHeight="1">
      <c r="A86" s="31"/>
      <c r="B86" s="32"/>
      <c r="C86" s="28" t="s">
        <v>31</v>
      </c>
      <c r="D86" s="31"/>
      <c r="E86" s="31"/>
      <c r="F86" s="26" t="str">
        <f>IF(E18="","",E18)</f>
        <v xml:space="preserve"> </v>
      </c>
      <c r="G86" s="31"/>
      <c r="H86" s="31"/>
      <c r="I86" s="28" t="s">
        <v>38</v>
      </c>
      <c r="J86" s="29" t="str">
        <f>E24</f>
        <v xml:space="preserve"> </v>
      </c>
      <c r="K86" s="31"/>
      <c r="L86" s="89"/>
      <c r="S86" s="31"/>
      <c r="T86" s="31"/>
      <c r="U86" s="31"/>
      <c r="V86" s="31"/>
      <c r="W86" s="31"/>
      <c r="X86" s="31"/>
      <c r="Y86" s="31"/>
      <c r="Z86" s="31"/>
      <c r="AA86" s="31"/>
      <c r="AB86" s="31"/>
      <c r="AC86" s="31"/>
      <c r="AD86" s="31"/>
      <c r="AE86" s="31"/>
    </row>
    <row r="87" spans="1:31" s="2" customFormat="1" ht="10.3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11" customFormat="1" ht="29.25" customHeight="1">
      <c r="A88" s="114"/>
      <c r="B88" s="115"/>
      <c r="C88" s="116" t="s">
        <v>130</v>
      </c>
      <c r="D88" s="117" t="s">
        <v>60</v>
      </c>
      <c r="E88" s="117" t="s">
        <v>56</v>
      </c>
      <c r="F88" s="117" t="s">
        <v>57</v>
      </c>
      <c r="G88" s="117" t="s">
        <v>131</v>
      </c>
      <c r="H88" s="117" t="s">
        <v>132</v>
      </c>
      <c r="I88" s="117" t="s">
        <v>133</v>
      </c>
      <c r="J88" s="117" t="s">
        <v>109</v>
      </c>
      <c r="K88" s="118" t="s">
        <v>134</v>
      </c>
      <c r="L88" s="119"/>
      <c r="M88" s="56" t="s">
        <v>3</v>
      </c>
      <c r="N88" s="57" t="s">
        <v>45</v>
      </c>
      <c r="O88" s="57" t="s">
        <v>135</v>
      </c>
      <c r="P88" s="57" t="s">
        <v>136</v>
      </c>
      <c r="Q88" s="57" t="s">
        <v>137</v>
      </c>
      <c r="R88" s="57" t="s">
        <v>138</v>
      </c>
      <c r="S88" s="57" t="s">
        <v>139</v>
      </c>
      <c r="T88" s="58" t="s">
        <v>140</v>
      </c>
      <c r="U88" s="114"/>
      <c r="V88" s="114"/>
      <c r="W88" s="114"/>
      <c r="X88" s="114"/>
      <c r="Y88" s="114"/>
      <c r="Z88" s="114"/>
      <c r="AA88" s="114"/>
      <c r="AB88" s="114"/>
      <c r="AC88" s="114"/>
      <c r="AD88" s="114"/>
      <c r="AE88" s="114"/>
    </row>
    <row r="89" spans="1:63" s="2" customFormat="1" ht="22.9" customHeight="1">
      <c r="A89" s="31"/>
      <c r="B89" s="32"/>
      <c r="C89" s="63" t="s">
        <v>141</v>
      </c>
      <c r="D89" s="31"/>
      <c r="E89" s="31"/>
      <c r="F89" s="31"/>
      <c r="G89" s="31"/>
      <c r="H89" s="31"/>
      <c r="I89" s="31"/>
      <c r="J89" s="120">
        <f>BK89</f>
        <v>0</v>
      </c>
      <c r="K89" s="31"/>
      <c r="L89" s="32"/>
      <c r="M89" s="59"/>
      <c r="N89" s="50"/>
      <c r="O89" s="60"/>
      <c r="P89" s="121">
        <f>P90+P130+P243</f>
        <v>791.86894</v>
      </c>
      <c r="Q89" s="60"/>
      <c r="R89" s="121">
        <f>R90+R130+R243</f>
        <v>4.188532</v>
      </c>
      <c r="S89" s="60"/>
      <c r="T89" s="122">
        <f>T90+T130+T243</f>
        <v>7.259999999999999</v>
      </c>
      <c r="U89" s="31"/>
      <c r="V89" s="31"/>
      <c r="W89" s="31"/>
      <c r="X89" s="31"/>
      <c r="Y89" s="31"/>
      <c r="Z89" s="31"/>
      <c r="AA89" s="31"/>
      <c r="AB89" s="31"/>
      <c r="AC89" s="31"/>
      <c r="AD89" s="31"/>
      <c r="AE89" s="31"/>
      <c r="AT89" s="19" t="s">
        <v>74</v>
      </c>
      <c r="AU89" s="19" t="s">
        <v>110</v>
      </c>
      <c r="BK89" s="123">
        <f>BK90+BK130+BK243</f>
        <v>0</v>
      </c>
    </row>
    <row r="90" spans="2:63" s="12" customFormat="1" ht="25.9" customHeight="1">
      <c r="B90" s="124"/>
      <c r="D90" s="125" t="s">
        <v>74</v>
      </c>
      <c r="E90" s="126" t="s">
        <v>142</v>
      </c>
      <c r="F90" s="126" t="s">
        <v>143</v>
      </c>
      <c r="J90" s="127">
        <f>BK90</f>
        <v>0</v>
      </c>
      <c r="L90" s="124"/>
      <c r="M90" s="128"/>
      <c r="N90" s="129"/>
      <c r="O90" s="129"/>
      <c r="P90" s="130">
        <f>P91+P98+P103+P113+P127</f>
        <v>317.81994</v>
      </c>
      <c r="Q90" s="129"/>
      <c r="R90" s="130">
        <f>R91+R98+R103+R113+R127</f>
        <v>3.72542</v>
      </c>
      <c r="S90" s="129"/>
      <c r="T90" s="131">
        <f>T91+T98+T103+T113+T127</f>
        <v>7.259999999999999</v>
      </c>
      <c r="AR90" s="125" t="s">
        <v>83</v>
      </c>
      <c r="AT90" s="132" t="s">
        <v>74</v>
      </c>
      <c r="AU90" s="132" t="s">
        <v>75</v>
      </c>
      <c r="AY90" s="125" t="s">
        <v>144</v>
      </c>
      <c r="BK90" s="133">
        <f>BK91+BK98+BK103+BK113+BK127</f>
        <v>0</v>
      </c>
    </row>
    <row r="91" spans="2:63" s="12" customFormat="1" ht="22.9" customHeight="1">
      <c r="B91" s="124"/>
      <c r="D91" s="125" t="s">
        <v>74</v>
      </c>
      <c r="E91" s="134" t="s">
        <v>145</v>
      </c>
      <c r="F91" s="134" t="s">
        <v>146</v>
      </c>
      <c r="J91" s="135">
        <f>BK91</f>
        <v>0</v>
      </c>
      <c r="L91" s="124"/>
      <c r="M91" s="128"/>
      <c r="N91" s="129"/>
      <c r="O91" s="129"/>
      <c r="P91" s="130">
        <f>SUM(P92:P97)</f>
        <v>8.042</v>
      </c>
      <c r="Q91" s="129"/>
      <c r="R91" s="130">
        <f>SUM(R92:R97)</f>
        <v>0.51742</v>
      </c>
      <c r="S91" s="129"/>
      <c r="T91" s="131">
        <f>SUM(T92:T97)</f>
        <v>0</v>
      </c>
      <c r="AR91" s="125" t="s">
        <v>83</v>
      </c>
      <c r="AT91" s="132" t="s">
        <v>74</v>
      </c>
      <c r="AU91" s="132" t="s">
        <v>83</v>
      </c>
      <c r="AY91" s="125" t="s">
        <v>144</v>
      </c>
      <c r="BK91" s="133">
        <f>SUM(BK92:BK97)</f>
        <v>0</v>
      </c>
    </row>
    <row r="92" spans="1:65" s="2" customFormat="1" ht="24.2" customHeight="1">
      <c r="A92" s="31"/>
      <c r="B92" s="136"/>
      <c r="C92" s="137" t="s">
        <v>83</v>
      </c>
      <c r="D92" s="137" t="s">
        <v>147</v>
      </c>
      <c r="E92" s="138" t="s">
        <v>881</v>
      </c>
      <c r="F92" s="139" t="s">
        <v>882</v>
      </c>
      <c r="G92" s="140" t="s">
        <v>156</v>
      </c>
      <c r="H92" s="141">
        <v>38</v>
      </c>
      <c r="I92" s="142"/>
      <c r="J92" s="142">
        <f>ROUND(I92*H92,2)</f>
        <v>0</v>
      </c>
      <c r="K92" s="139" t="s">
        <v>157</v>
      </c>
      <c r="L92" s="32"/>
      <c r="M92" s="143" t="s">
        <v>3</v>
      </c>
      <c r="N92" s="144" t="s">
        <v>46</v>
      </c>
      <c r="O92" s="145">
        <v>0.195</v>
      </c>
      <c r="P92" s="145">
        <f>O92*H92</f>
        <v>7.41</v>
      </c>
      <c r="Q92" s="145">
        <v>0.01262</v>
      </c>
      <c r="R92" s="145">
        <f>Q92*H92</f>
        <v>0.47956</v>
      </c>
      <c r="S92" s="145">
        <v>0</v>
      </c>
      <c r="T92" s="146">
        <f>S92*H92</f>
        <v>0</v>
      </c>
      <c r="U92" s="31"/>
      <c r="V92" s="31"/>
      <c r="W92" s="31"/>
      <c r="X92" s="31"/>
      <c r="Y92" s="31"/>
      <c r="Z92" s="31"/>
      <c r="AA92" s="31"/>
      <c r="AB92" s="31"/>
      <c r="AC92" s="31"/>
      <c r="AD92" s="31"/>
      <c r="AE92" s="31"/>
      <c r="AR92" s="147" t="s">
        <v>152</v>
      </c>
      <c r="AT92" s="147" t="s">
        <v>147</v>
      </c>
      <c r="AU92" s="147" t="s">
        <v>85</v>
      </c>
      <c r="AY92" s="19" t="s">
        <v>144</v>
      </c>
      <c r="BE92" s="148">
        <f>IF(N92="základní",J92,0)</f>
        <v>0</v>
      </c>
      <c r="BF92" s="148">
        <f>IF(N92="snížená",J92,0)</f>
        <v>0</v>
      </c>
      <c r="BG92" s="148">
        <f>IF(N92="zákl. přenesená",J92,0)</f>
        <v>0</v>
      </c>
      <c r="BH92" s="148">
        <f>IF(N92="sníž. přenesená",J92,0)</f>
        <v>0</v>
      </c>
      <c r="BI92" s="148">
        <f>IF(N92="nulová",J92,0)</f>
        <v>0</v>
      </c>
      <c r="BJ92" s="19" t="s">
        <v>83</v>
      </c>
      <c r="BK92" s="148">
        <f>ROUND(I92*H92,2)</f>
        <v>0</v>
      </c>
      <c r="BL92" s="19" t="s">
        <v>152</v>
      </c>
      <c r="BM92" s="147" t="s">
        <v>1261</v>
      </c>
    </row>
    <row r="93" spans="2:51" s="13" customFormat="1" ht="12">
      <c r="B93" s="149"/>
      <c r="D93" s="150" t="s">
        <v>154</v>
      </c>
      <c r="E93" s="151" t="s">
        <v>3</v>
      </c>
      <c r="F93" s="152" t="s">
        <v>216</v>
      </c>
      <c r="H93" s="151" t="s">
        <v>3</v>
      </c>
      <c r="L93" s="149"/>
      <c r="M93" s="153"/>
      <c r="N93" s="154"/>
      <c r="O93" s="154"/>
      <c r="P93" s="154"/>
      <c r="Q93" s="154"/>
      <c r="R93" s="154"/>
      <c r="S93" s="154"/>
      <c r="T93" s="155"/>
      <c r="AT93" s="151" t="s">
        <v>154</v>
      </c>
      <c r="AU93" s="151" t="s">
        <v>85</v>
      </c>
      <c r="AV93" s="13" t="s">
        <v>83</v>
      </c>
      <c r="AW93" s="13" t="s">
        <v>37</v>
      </c>
      <c r="AX93" s="13" t="s">
        <v>75</v>
      </c>
      <c r="AY93" s="151" t="s">
        <v>144</v>
      </c>
    </row>
    <row r="94" spans="2:51" s="14" customFormat="1" ht="12">
      <c r="B94" s="156"/>
      <c r="D94" s="150" t="s">
        <v>154</v>
      </c>
      <c r="E94" s="157" t="s">
        <v>3</v>
      </c>
      <c r="F94" s="158" t="s">
        <v>276</v>
      </c>
      <c r="H94" s="159">
        <v>38</v>
      </c>
      <c r="L94" s="156"/>
      <c r="M94" s="160"/>
      <c r="N94" s="161"/>
      <c r="O94" s="161"/>
      <c r="P94" s="161"/>
      <c r="Q94" s="161"/>
      <c r="R94" s="161"/>
      <c r="S94" s="161"/>
      <c r="T94" s="162"/>
      <c r="AT94" s="157" t="s">
        <v>154</v>
      </c>
      <c r="AU94" s="157" t="s">
        <v>85</v>
      </c>
      <c r="AV94" s="14" t="s">
        <v>85</v>
      </c>
      <c r="AW94" s="14" t="s">
        <v>37</v>
      </c>
      <c r="AX94" s="14" t="s">
        <v>83</v>
      </c>
      <c r="AY94" s="157" t="s">
        <v>144</v>
      </c>
    </row>
    <row r="95" spans="1:65" s="2" customFormat="1" ht="37.9" customHeight="1">
      <c r="A95" s="31"/>
      <c r="B95" s="136"/>
      <c r="C95" s="137" t="s">
        <v>85</v>
      </c>
      <c r="D95" s="137" t="s">
        <v>147</v>
      </c>
      <c r="E95" s="138" t="s">
        <v>884</v>
      </c>
      <c r="F95" s="139" t="s">
        <v>885</v>
      </c>
      <c r="G95" s="140" t="s">
        <v>156</v>
      </c>
      <c r="H95" s="141">
        <v>2</v>
      </c>
      <c r="I95" s="142"/>
      <c r="J95" s="142">
        <f>ROUND(I95*H95,2)</f>
        <v>0</v>
      </c>
      <c r="K95" s="139" t="s">
        <v>157</v>
      </c>
      <c r="L95" s="32"/>
      <c r="M95" s="143" t="s">
        <v>3</v>
      </c>
      <c r="N95" s="144" t="s">
        <v>46</v>
      </c>
      <c r="O95" s="145">
        <v>0.316</v>
      </c>
      <c r="P95" s="145">
        <f>O95*H95</f>
        <v>0.632</v>
      </c>
      <c r="Q95" s="145">
        <v>0.01893</v>
      </c>
      <c r="R95" s="145">
        <f>Q95*H95</f>
        <v>0.03786</v>
      </c>
      <c r="S95" s="145">
        <v>0</v>
      </c>
      <c r="T95" s="146">
        <f>S95*H95</f>
        <v>0</v>
      </c>
      <c r="U95" s="31"/>
      <c r="V95" s="31"/>
      <c r="W95" s="31"/>
      <c r="X95" s="31"/>
      <c r="Y95" s="31"/>
      <c r="Z95" s="31"/>
      <c r="AA95" s="31"/>
      <c r="AB95" s="31"/>
      <c r="AC95" s="31"/>
      <c r="AD95" s="31"/>
      <c r="AE95" s="31"/>
      <c r="AR95" s="147" t="s">
        <v>152</v>
      </c>
      <c r="AT95" s="147" t="s">
        <v>147</v>
      </c>
      <c r="AU95" s="147" t="s">
        <v>85</v>
      </c>
      <c r="AY95" s="19" t="s">
        <v>144</v>
      </c>
      <c r="BE95" s="148">
        <f>IF(N95="základní",J95,0)</f>
        <v>0</v>
      </c>
      <c r="BF95" s="148">
        <f>IF(N95="snížená",J95,0)</f>
        <v>0</v>
      </c>
      <c r="BG95" s="148">
        <f>IF(N95="zákl. přenesená",J95,0)</f>
        <v>0</v>
      </c>
      <c r="BH95" s="148">
        <f>IF(N95="sníž. přenesená",J95,0)</f>
        <v>0</v>
      </c>
      <c r="BI95" s="148">
        <f>IF(N95="nulová",J95,0)</f>
        <v>0</v>
      </c>
      <c r="BJ95" s="19" t="s">
        <v>83</v>
      </c>
      <c r="BK95" s="148">
        <f>ROUND(I95*H95,2)</f>
        <v>0</v>
      </c>
      <c r="BL95" s="19" t="s">
        <v>152</v>
      </c>
      <c r="BM95" s="147" t="s">
        <v>1262</v>
      </c>
    </row>
    <row r="96" spans="2:51" s="13" customFormat="1" ht="12">
      <c r="B96" s="149"/>
      <c r="D96" s="150" t="s">
        <v>154</v>
      </c>
      <c r="E96" s="151" t="s">
        <v>3</v>
      </c>
      <c r="F96" s="152" t="s">
        <v>216</v>
      </c>
      <c r="H96" s="151" t="s">
        <v>3</v>
      </c>
      <c r="L96" s="149"/>
      <c r="M96" s="153"/>
      <c r="N96" s="154"/>
      <c r="O96" s="154"/>
      <c r="P96" s="154"/>
      <c r="Q96" s="154"/>
      <c r="R96" s="154"/>
      <c r="S96" s="154"/>
      <c r="T96" s="155"/>
      <c r="AT96" s="151" t="s">
        <v>154</v>
      </c>
      <c r="AU96" s="151" t="s">
        <v>85</v>
      </c>
      <c r="AV96" s="13" t="s">
        <v>83</v>
      </c>
      <c r="AW96" s="13" t="s">
        <v>37</v>
      </c>
      <c r="AX96" s="13" t="s">
        <v>75</v>
      </c>
      <c r="AY96" s="151" t="s">
        <v>144</v>
      </c>
    </row>
    <row r="97" spans="2:51" s="14" customFormat="1" ht="12">
      <c r="B97" s="156"/>
      <c r="D97" s="150" t="s">
        <v>154</v>
      </c>
      <c r="E97" s="157" t="s">
        <v>3</v>
      </c>
      <c r="F97" s="158" t="s">
        <v>85</v>
      </c>
      <c r="H97" s="159">
        <v>2</v>
      </c>
      <c r="L97" s="156"/>
      <c r="M97" s="160"/>
      <c r="N97" s="161"/>
      <c r="O97" s="161"/>
      <c r="P97" s="161"/>
      <c r="Q97" s="161"/>
      <c r="R97" s="161"/>
      <c r="S97" s="161"/>
      <c r="T97" s="162"/>
      <c r="AT97" s="157" t="s">
        <v>154</v>
      </c>
      <c r="AU97" s="157" t="s">
        <v>85</v>
      </c>
      <c r="AV97" s="14" t="s">
        <v>85</v>
      </c>
      <c r="AW97" s="14" t="s">
        <v>37</v>
      </c>
      <c r="AX97" s="14" t="s">
        <v>83</v>
      </c>
      <c r="AY97" s="157" t="s">
        <v>144</v>
      </c>
    </row>
    <row r="98" spans="2:63" s="12" customFormat="1" ht="22.9" customHeight="1">
      <c r="B98" s="124"/>
      <c r="D98" s="125" t="s">
        <v>74</v>
      </c>
      <c r="E98" s="134" t="s">
        <v>179</v>
      </c>
      <c r="F98" s="134" t="s">
        <v>217</v>
      </c>
      <c r="J98" s="135">
        <f>BK98</f>
        <v>0</v>
      </c>
      <c r="L98" s="124"/>
      <c r="M98" s="128"/>
      <c r="N98" s="129"/>
      <c r="O98" s="129"/>
      <c r="P98" s="130">
        <f>SUM(P99:P102)</f>
        <v>50.0448</v>
      </c>
      <c r="Q98" s="129"/>
      <c r="R98" s="130">
        <f>SUM(R99:R102)</f>
        <v>3.208</v>
      </c>
      <c r="S98" s="129"/>
      <c r="T98" s="131">
        <f>SUM(T99:T102)</f>
        <v>0</v>
      </c>
      <c r="AR98" s="125" t="s">
        <v>83</v>
      </c>
      <c r="AT98" s="132" t="s">
        <v>74</v>
      </c>
      <c r="AU98" s="132" t="s">
        <v>83</v>
      </c>
      <c r="AY98" s="125" t="s">
        <v>144</v>
      </c>
      <c r="BK98" s="133">
        <f>SUM(BK99:BK102)</f>
        <v>0</v>
      </c>
    </row>
    <row r="99" spans="1:65" s="2" customFormat="1" ht="14.45" customHeight="1">
      <c r="A99" s="31"/>
      <c r="B99" s="136"/>
      <c r="C99" s="137" t="s">
        <v>145</v>
      </c>
      <c r="D99" s="137" t="s">
        <v>147</v>
      </c>
      <c r="E99" s="138" t="s">
        <v>902</v>
      </c>
      <c r="F99" s="139" t="s">
        <v>903</v>
      </c>
      <c r="G99" s="140" t="s">
        <v>183</v>
      </c>
      <c r="H99" s="141">
        <v>80.2</v>
      </c>
      <c r="I99" s="142"/>
      <c r="J99" s="142">
        <f>ROUND(I99*H99,2)</f>
        <v>0</v>
      </c>
      <c r="K99" s="139" t="s">
        <v>157</v>
      </c>
      <c r="L99" s="32"/>
      <c r="M99" s="143" t="s">
        <v>3</v>
      </c>
      <c r="N99" s="144" t="s">
        <v>46</v>
      </c>
      <c r="O99" s="145">
        <v>0.624</v>
      </c>
      <c r="P99" s="145">
        <f>O99*H99</f>
        <v>50.0448</v>
      </c>
      <c r="Q99" s="145">
        <v>0.04</v>
      </c>
      <c r="R99" s="145">
        <f>Q99*H99</f>
        <v>3.208</v>
      </c>
      <c r="S99" s="145">
        <v>0</v>
      </c>
      <c r="T99" s="146">
        <f>S99*H99</f>
        <v>0</v>
      </c>
      <c r="U99" s="31"/>
      <c r="V99" s="31"/>
      <c r="W99" s="31"/>
      <c r="X99" s="31"/>
      <c r="Y99" s="31"/>
      <c r="Z99" s="31"/>
      <c r="AA99" s="31"/>
      <c r="AB99" s="31"/>
      <c r="AC99" s="31"/>
      <c r="AD99" s="31"/>
      <c r="AE99" s="31"/>
      <c r="AR99" s="147" t="s">
        <v>152</v>
      </c>
      <c r="AT99" s="147" t="s">
        <v>147</v>
      </c>
      <c r="AU99" s="147" t="s">
        <v>85</v>
      </c>
      <c r="AY99" s="19" t="s">
        <v>144</v>
      </c>
      <c r="BE99" s="148">
        <f>IF(N99="základní",J99,0)</f>
        <v>0</v>
      </c>
      <c r="BF99" s="148">
        <f>IF(N99="snížená",J99,0)</f>
        <v>0</v>
      </c>
      <c r="BG99" s="148">
        <f>IF(N99="zákl. přenesená",J99,0)</f>
        <v>0</v>
      </c>
      <c r="BH99" s="148">
        <f>IF(N99="sníž. přenesená",J99,0)</f>
        <v>0</v>
      </c>
      <c r="BI99" s="148">
        <f>IF(N99="nulová",J99,0)</f>
        <v>0</v>
      </c>
      <c r="BJ99" s="19" t="s">
        <v>83</v>
      </c>
      <c r="BK99" s="148">
        <f>ROUND(I99*H99,2)</f>
        <v>0</v>
      </c>
      <c r="BL99" s="19" t="s">
        <v>152</v>
      </c>
      <c r="BM99" s="147" t="s">
        <v>1263</v>
      </c>
    </row>
    <row r="100" spans="1:47" s="2" customFormat="1" ht="39">
      <c r="A100" s="31"/>
      <c r="B100" s="32"/>
      <c r="C100" s="31"/>
      <c r="D100" s="150" t="s">
        <v>158</v>
      </c>
      <c r="E100" s="31"/>
      <c r="F100" s="163" t="s">
        <v>905</v>
      </c>
      <c r="G100" s="31"/>
      <c r="H100" s="31"/>
      <c r="I100" s="31"/>
      <c r="J100" s="31"/>
      <c r="K100" s="31"/>
      <c r="L100" s="32"/>
      <c r="M100" s="164"/>
      <c r="N100" s="165"/>
      <c r="O100" s="52"/>
      <c r="P100" s="52"/>
      <c r="Q100" s="52"/>
      <c r="R100" s="52"/>
      <c r="S100" s="52"/>
      <c r="T100" s="53"/>
      <c r="U100" s="31"/>
      <c r="V100" s="31"/>
      <c r="W100" s="31"/>
      <c r="X100" s="31"/>
      <c r="Y100" s="31"/>
      <c r="Z100" s="31"/>
      <c r="AA100" s="31"/>
      <c r="AB100" s="31"/>
      <c r="AC100" s="31"/>
      <c r="AD100" s="31"/>
      <c r="AE100" s="31"/>
      <c r="AT100" s="19" t="s">
        <v>158</v>
      </c>
      <c r="AU100" s="19" t="s">
        <v>85</v>
      </c>
    </row>
    <row r="101" spans="2:51" s="13" customFormat="1" ht="12">
      <c r="B101" s="149"/>
      <c r="D101" s="150" t="s">
        <v>154</v>
      </c>
      <c r="E101" s="151" t="s">
        <v>3</v>
      </c>
      <c r="F101" s="152" t="s">
        <v>1264</v>
      </c>
      <c r="H101" s="151" t="s">
        <v>3</v>
      </c>
      <c r="L101" s="149"/>
      <c r="M101" s="153"/>
      <c r="N101" s="154"/>
      <c r="O101" s="154"/>
      <c r="P101" s="154"/>
      <c r="Q101" s="154"/>
      <c r="R101" s="154"/>
      <c r="S101" s="154"/>
      <c r="T101" s="155"/>
      <c r="AT101" s="151" t="s">
        <v>154</v>
      </c>
      <c r="AU101" s="151" t="s">
        <v>85</v>
      </c>
      <c r="AV101" s="13" t="s">
        <v>83</v>
      </c>
      <c r="AW101" s="13" t="s">
        <v>37</v>
      </c>
      <c r="AX101" s="13" t="s">
        <v>75</v>
      </c>
      <c r="AY101" s="151" t="s">
        <v>144</v>
      </c>
    </row>
    <row r="102" spans="2:51" s="14" customFormat="1" ht="12">
      <c r="B102" s="156"/>
      <c r="D102" s="150" t="s">
        <v>154</v>
      </c>
      <c r="E102" s="157" t="s">
        <v>3</v>
      </c>
      <c r="F102" s="158" t="s">
        <v>1265</v>
      </c>
      <c r="H102" s="159">
        <v>80.2</v>
      </c>
      <c r="L102" s="156"/>
      <c r="M102" s="160"/>
      <c r="N102" s="161"/>
      <c r="O102" s="161"/>
      <c r="P102" s="161"/>
      <c r="Q102" s="161"/>
      <c r="R102" s="161"/>
      <c r="S102" s="161"/>
      <c r="T102" s="162"/>
      <c r="AT102" s="157" t="s">
        <v>154</v>
      </c>
      <c r="AU102" s="157" t="s">
        <v>85</v>
      </c>
      <c r="AV102" s="14" t="s">
        <v>85</v>
      </c>
      <c r="AW102" s="14" t="s">
        <v>37</v>
      </c>
      <c r="AX102" s="14" t="s">
        <v>83</v>
      </c>
      <c r="AY102" s="157" t="s">
        <v>144</v>
      </c>
    </row>
    <row r="103" spans="2:63" s="12" customFormat="1" ht="22.9" customHeight="1">
      <c r="B103" s="124"/>
      <c r="D103" s="125" t="s">
        <v>74</v>
      </c>
      <c r="E103" s="134" t="s">
        <v>188</v>
      </c>
      <c r="F103" s="134" t="s">
        <v>278</v>
      </c>
      <c r="J103" s="135">
        <f>BK103</f>
        <v>0</v>
      </c>
      <c r="L103" s="124"/>
      <c r="M103" s="128"/>
      <c r="N103" s="129"/>
      <c r="O103" s="129"/>
      <c r="P103" s="130">
        <f>SUM(P104:P112)</f>
        <v>215.724</v>
      </c>
      <c r="Q103" s="129"/>
      <c r="R103" s="130">
        <f>SUM(R104:R112)</f>
        <v>0</v>
      </c>
      <c r="S103" s="129"/>
      <c r="T103" s="131">
        <f>SUM(T104:T112)</f>
        <v>7.259999999999999</v>
      </c>
      <c r="AR103" s="125" t="s">
        <v>83</v>
      </c>
      <c r="AT103" s="132" t="s">
        <v>74</v>
      </c>
      <c r="AU103" s="132" t="s">
        <v>83</v>
      </c>
      <c r="AY103" s="125" t="s">
        <v>144</v>
      </c>
      <c r="BK103" s="133">
        <f>SUM(BK104:BK112)</f>
        <v>0</v>
      </c>
    </row>
    <row r="104" spans="1:65" s="2" customFormat="1" ht="49.15" customHeight="1">
      <c r="A104" s="31"/>
      <c r="B104" s="136"/>
      <c r="C104" s="137" t="s">
        <v>152</v>
      </c>
      <c r="D104" s="137" t="s">
        <v>147</v>
      </c>
      <c r="E104" s="138" t="s">
        <v>1266</v>
      </c>
      <c r="F104" s="139" t="s">
        <v>1267</v>
      </c>
      <c r="G104" s="140" t="s">
        <v>156</v>
      </c>
      <c r="H104" s="141">
        <v>38</v>
      </c>
      <c r="I104" s="142"/>
      <c r="J104" s="142">
        <f>ROUND(I104*H104,2)</f>
        <v>0</v>
      </c>
      <c r="K104" s="139" t="s">
        <v>157</v>
      </c>
      <c r="L104" s="32"/>
      <c r="M104" s="143" t="s">
        <v>3</v>
      </c>
      <c r="N104" s="144" t="s">
        <v>46</v>
      </c>
      <c r="O104" s="145">
        <v>0.064</v>
      </c>
      <c r="P104" s="145">
        <f>O104*H104</f>
        <v>2.432</v>
      </c>
      <c r="Q104" s="145">
        <v>0</v>
      </c>
      <c r="R104" s="145">
        <f>Q104*H104</f>
        <v>0</v>
      </c>
      <c r="S104" s="145">
        <v>0.001</v>
      </c>
      <c r="T104" s="146">
        <f>S104*H104</f>
        <v>0.038</v>
      </c>
      <c r="U104" s="31"/>
      <c r="V104" s="31"/>
      <c r="W104" s="31"/>
      <c r="X104" s="31"/>
      <c r="Y104" s="31"/>
      <c r="Z104" s="31"/>
      <c r="AA104" s="31"/>
      <c r="AB104" s="31"/>
      <c r="AC104" s="31"/>
      <c r="AD104" s="31"/>
      <c r="AE104" s="31"/>
      <c r="AR104" s="147" t="s">
        <v>152</v>
      </c>
      <c r="AT104" s="147" t="s">
        <v>147</v>
      </c>
      <c r="AU104" s="147" t="s">
        <v>85</v>
      </c>
      <c r="AY104" s="19" t="s">
        <v>144</v>
      </c>
      <c r="BE104" s="148">
        <f>IF(N104="základní",J104,0)</f>
        <v>0</v>
      </c>
      <c r="BF104" s="148">
        <f>IF(N104="snížená",J104,0)</f>
        <v>0</v>
      </c>
      <c r="BG104" s="148">
        <f>IF(N104="zákl. přenesená",J104,0)</f>
        <v>0</v>
      </c>
      <c r="BH104" s="148">
        <f>IF(N104="sníž. přenesená",J104,0)</f>
        <v>0</v>
      </c>
      <c r="BI104" s="148">
        <f>IF(N104="nulová",J104,0)</f>
        <v>0</v>
      </c>
      <c r="BJ104" s="19" t="s">
        <v>83</v>
      </c>
      <c r="BK104" s="148">
        <f>ROUND(I104*H104,2)</f>
        <v>0</v>
      </c>
      <c r="BL104" s="19" t="s">
        <v>152</v>
      </c>
      <c r="BM104" s="147" t="s">
        <v>1268</v>
      </c>
    </row>
    <row r="105" spans="2:51" s="13" customFormat="1" ht="12">
      <c r="B105" s="149"/>
      <c r="D105" s="150" t="s">
        <v>154</v>
      </c>
      <c r="E105" s="151" t="s">
        <v>3</v>
      </c>
      <c r="F105" s="152" t="s">
        <v>1264</v>
      </c>
      <c r="H105" s="151" t="s">
        <v>3</v>
      </c>
      <c r="L105" s="149"/>
      <c r="M105" s="153"/>
      <c r="N105" s="154"/>
      <c r="O105" s="154"/>
      <c r="P105" s="154"/>
      <c r="Q105" s="154"/>
      <c r="R105" s="154"/>
      <c r="S105" s="154"/>
      <c r="T105" s="155"/>
      <c r="AT105" s="151" t="s">
        <v>154</v>
      </c>
      <c r="AU105" s="151" t="s">
        <v>85</v>
      </c>
      <c r="AV105" s="13" t="s">
        <v>83</v>
      </c>
      <c r="AW105" s="13" t="s">
        <v>37</v>
      </c>
      <c r="AX105" s="13" t="s">
        <v>75</v>
      </c>
      <c r="AY105" s="151" t="s">
        <v>144</v>
      </c>
    </row>
    <row r="106" spans="2:51" s="14" customFormat="1" ht="12">
      <c r="B106" s="156"/>
      <c r="D106" s="150" t="s">
        <v>154</v>
      </c>
      <c r="E106" s="157" t="s">
        <v>3</v>
      </c>
      <c r="F106" s="158" t="s">
        <v>276</v>
      </c>
      <c r="H106" s="159">
        <v>38</v>
      </c>
      <c r="L106" s="156"/>
      <c r="M106" s="160"/>
      <c r="N106" s="161"/>
      <c r="O106" s="161"/>
      <c r="P106" s="161"/>
      <c r="Q106" s="161"/>
      <c r="R106" s="161"/>
      <c r="S106" s="161"/>
      <c r="T106" s="162"/>
      <c r="AT106" s="157" t="s">
        <v>154</v>
      </c>
      <c r="AU106" s="157" t="s">
        <v>85</v>
      </c>
      <c r="AV106" s="14" t="s">
        <v>85</v>
      </c>
      <c r="AW106" s="14" t="s">
        <v>37</v>
      </c>
      <c r="AX106" s="14" t="s">
        <v>83</v>
      </c>
      <c r="AY106" s="157" t="s">
        <v>144</v>
      </c>
    </row>
    <row r="107" spans="1:65" s="2" customFormat="1" ht="49.15" customHeight="1">
      <c r="A107" s="31"/>
      <c r="B107" s="136"/>
      <c r="C107" s="137" t="s">
        <v>173</v>
      </c>
      <c r="D107" s="137" t="s">
        <v>147</v>
      </c>
      <c r="E107" s="138" t="s">
        <v>1269</v>
      </c>
      <c r="F107" s="139" t="s">
        <v>1270</v>
      </c>
      <c r="G107" s="140" t="s">
        <v>156</v>
      </c>
      <c r="H107" s="141">
        <v>2</v>
      </c>
      <c r="I107" s="142"/>
      <c r="J107" s="142">
        <f>ROUND(I107*H107,2)</f>
        <v>0</v>
      </c>
      <c r="K107" s="139" t="s">
        <v>157</v>
      </c>
      <c r="L107" s="32"/>
      <c r="M107" s="143" t="s">
        <v>3</v>
      </c>
      <c r="N107" s="144" t="s">
        <v>46</v>
      </c>
      <c r="O107" s="145">
        <v>0.381</v>
      </c>
      <c r="P107" s="145">
        <f>O107*H107</f>
        <v>0.762</v>
      </c>
      <c r="Q107" s="145">
        <v>0</v>
      </c>
      <c r="R107" s="145">
        <f>Q107*H107</f>
        <v>0</v>
      </c>
      <c r="S107" s="145">
        <v>0.002</v>
      </c>
      <c r="T107" s="146">
        <f>S107*H107</f>
        <v>0.004</v>
      </c>
      <c r="U107" s="31"/>
      <c r="V107" s="31"/>
      <c r="W107" s="31"/>
      <c r="X107" s="31"/>
      <c r="Y107" s="31"/>
      <c r="Z107" s="31"/>
      <c r="AA107" s="31"/>
      <c r="AB107" s="31"/>
      <c r="AC107" s="31"/>
      <c r="AD107" s="31"/>
      <c r="AE107" s="31"/>
      <c r="AR107" s="147" t="s">
        <v>152</v>
      </c>
      <c r="AT107" s="147" t="s">
        <v>147</v>
      </c>
      <c r="AU107" s="147" t="s">
        <v>85</v>
      </c>
      <c r="AY107" s="19" t="s">
        <v>144</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152</v>
      </c>
      <c r="BM107" s="147" t="s">
        <v>1271</v>
      </c>
    </row>
    <row r="108" spans="2:51" s="13" customFormat="1" ht="12">
      <c r="B108" s="149"/>
      <c r="D108" s="150" t="s">
        <v>154</v>
      </c>
      <c r="E108" s="151" t="s">
        <v>3</v>
      </c>
      <c r="F108" s="152" t="s">
        <v>1264</v>
      </c>
      <c r="H108" s="151" t="s">
        <v>3</v>
      </c>
      <c r="L108" s="149"/>
      <c r="M108" s="153"/>
      <c r="N108" s="154"/>
      <c r="O108" s="154"/>
      <c r="P108" s="154"/>
      <c r="Q108" s="154"/>
      <c r="R108" s="154"/>
      <c r="S108" s="154"/>
      <c r="T108" s="155"/>
      <c r="AT108" s="151" t="s">
        <v>154</v>
      </c>
      <c r="AU108" s="151" t="s">
        <v>85</v>
      </c>
      <c r="AV108" s="13" t="s">
        <v>83</v>
      </c>
      <c r="AW108" s="13" t="s">
        <v>37</v>
      </c>
      <c r="AX108" s="13" t="s">
        <v>75</v>
      </c>
      <c r="AY108" s="151" t="s">
        <v>144</v>
      </c>
    </row>
    <row r="109" spans="2:51" s="14" customFormat="1" ht="12">
      <c r="B109" s="156"/>
      <c r="D109" s="150" t="s">
        <v>154</v>
      </c>
      <c r="E109" s="157" t="s">
        <v>3</v>
      </c>
      <c r="F109" s="158" t="s">
        <v>85</v>
      </c>
      <c r="H109" s="159">
        <v>2</v>
      </c>
      <c r="L109" s="156"/>
      <c r="M109" s="160"/>
      <c r="N109" s="161"/>
      <c r="O109" s="161"/>
      <c r="P109" s="161"/>
      <c r="Q109" s="161"/>
      <c r="R109" s="161"/>
      <c r="S109" s="161"/>
      <c r="T109" s="162"/>
      <c r="AT109" s="157" t="s">
        <v>154</v>
      </c>
      <c r="AU109" s="157" t="s">
        <v>85</v>
      </c>
      <c r="AV109" s="14" t="s">
        <v>85</v>
      </c>
      <c r="AW109" s="14" t="s">
        <v>37</v>
      </c>
      <c r="AX109" s="14" t="s">
        <v>83</v>
      </c>
      <c r="AY109" s="157" t="s">
        <v>144</v>
      </c>
    </row>
    <row r="110" spans="1:65" s="2" customFormat="1" ht="37.9" customHeight="1">
      <c r="A110" s="31"/>
      <c r="B110" s="136"/>
      <c r="C110" s="137" t="s">
        <v>179</v>
      </c>
      <c r="D110" s="137" t="s">
        <v>147</v>
      </c>
      <c r="E110" s="138" t="s">
        <v>1272</v>
      </c>
      <c r="F110" s="139" t="s">
        <v>1273</v>
      </c>
      <c r="G110" s="140" t="s">
        <v>201</v>
      </c>
      <c r="H110" s="141">
        <v>802</v>
      </c>
      <c r="I110" s="142"/>
      <c r="J110" s="142">
        <f>ROUND(I110*H110,2)</f>
        <v>0</v>
      </c>
      <c r="K110" s="139" t="s">
        <v>157</v>
      </c>
      <c r="L110" s="32"/>
      <c r="M110" s="143" t="s">
        <v>3</v>
      </c>
      <c r="N110" s="144" t="s">
        <v>46</v>
      </c>
      <c r="O110" s="145">
        <v>0.265</v>
      </c>
      <c r="P110" s="145">
        <f>O110*H110</f>
        <v>212.53</v>
      </c>
      <c r="Q110" s="145">
        <v>0</v>
      </c>
      <c r="R110" s="145">
        <f>Q110*H110</f>
        <v>0</v>
      </c>
      <c r="S110" s="145">
        <v>0.009</v>
      </c>
      <c r="T110" s="146">
        <f>S110*H110</f>
        <v>7.217999999999999</v>
      </c>
      <c r="U110" s="31"/>
      <c r="V110" s="31"/>
      <c r="W110" s="31"/>
      <c r="X110" s="31"/>
      <c r="Y110" s="31"/>
      <c r="Z110" s="31"/>
      <c r="AA110" s="31"/>
      <c r="AB110" s="31"/>
      <c r="AC110" s="31"/>
      <c r="AD110" s="31"/>
      <c r="AE110" s="31"/>
      <c r="AR110" s="147" t="s">
        <v>152</v>
      </c>
      <c r="AT110" s="147" t="s">
        <v>147</v>
      </c>
      <c r="AU110" s="147" t="s">
        <v>85</v>
      </c>
      <c r="AY110" s="19" t="s">
        <v>144</v>
      </c>
      <c r="BE110" s="148">
        <f>IF(N110="základní",J110,0)</f>
        <v>0</v>
      </c>
      <c r="BF110" s="148">
        <f>IF(N110="snížená",J110,0)</f>
        <v>0</v>
      </c>
      <c r="BG110" s="148">
        <f>IF(N110="zákl. přenesená",J110,0)</f>
        <v>0</v>
      </c>
      <c r="BH110" s="148">
        <f>IF(N110="sníž. přenesená",J110,0)</f>
        <v>0</v>
      </c>
      <c r="BI110" s="148">
        <f>IF(N110="nulová",J110,0)</f>
        <v>0</v>
      </c>
      <c r="BJ110" s="19" t="s">
        <v>83</v>
      </c>
      <c r="BK110" s="148">
        <f>ROUND(I110*H110,2)</f>
        <v>0</v>
      </c>
      <c r="BL110" s="19" t="s">
        <v>152</v>
      </c>
      <c r="BM110" s="147" t="s">
        <v>1274</v>
      </c>
    </row>
    <row r="111" spans="2:51" s="13" customFormat="1" ht="12">
      <c r="B111" s="149"/>
      <c r="D111" s="150" t="s">
        <v>154</v>
      </c>
      <c r="E111" s="151" t="s">
        <v>3</v>
      </c>
      <c r="F111" s="152" t="s">
        <v>1264</v>
      </c>
      <c r="H111" s="151" t="s">
        <v>3</v>
      </c>
      <c r="L111" s="149"/>
      <c r="M111" s="153"/>
      <c r="N111" s="154"/>
      <c r="O111" s="154"/>
      <c r="P111" s="154"/>
      <c r="Q111" s="154"/>
      <c r="R111" s="154"/>
      <c r="S111" s="154"/>
      <c r="T111" s="155"/>
      <c r="AT111" s="151" t="s">
        <v>154</v>
      </c>
      <c r="AU111" s="151" t="s">
        <v>85</v>
      </c>
      <c r="AV111" s="13" t="s">
        <v>83</v>
      </c>
      <c r="AW111" s="13" t="s">
        <v>37</v>
      </c>
      <c r="AX111" s="13" t="s">
        <v>75</v>
      </c>
      <c r="AY111" s="151" t="s">
        <v>144</v>
      </c>
    </row>
    <row r="112" spans="2:51" s="14" customFormat="1" ht="12">
      <c r="B112" s="156"/>
      <c r="D112" s="150" t="s">
        <v>154</v>
      </c>
      <c r="E112" s="157" t="s">
        <v>3</v>
      </c>
      <c r="F112" s="158" t="s">
        <v>1275</v>
      </c>
      <c r="H112" s="159">
        <v>802</v>
      </c>
      <c r="L112" s="156"/>
      <c r="M112" s="160"/>
      <c r="N112" s="161"/>
      <c r="O112" s="161"/>
      <c r="P112" s="161"/>
      <c r="Q112" s="161"/>
      <c r="R112" s="161"/>
      <c r="S112" s="161"/>
      <c r="T112" s="162"/>
      <c r="AT112" s="157" t="s">
        <v>154</v>
      </c>
      <c r="AU112" s="157" t="s">
        <v>85</v>
      </c>
      <c r="AV112" s="14" t="s">
        <v>85</v>
      </c>
      <c r="AW112" s="14" t="s">
        <v>37</v>
      </c>
      <c r="AX112" s="14" t="s">
        <v>83</v>
      </c>
      <c r="AY112" s="157" t="s">
        <v>144</v>
      </c>
    </row>
    <row r="113" spans="2:63" s="12" customFormat="1" ht="22.9" customHeight="1">
      <c r="B113" s="124"/>
      <c r="D113" s="125" t="s">
        <v>74</v>
      </c>
      <c r="E113" s="134" t="s">
        <v>334</v>
      </c>
      <c r="F113" s="134" t="s">
        <v>335</v>
      </c>
      <c r="J113" s="135">
        <f>BK113</f>
        <v>0</v>
      </c>
      <c r="L113" s="124"/>
      <c r="M113" s="128"/>
      <c r="N113" s="129"/>
      <c r="O113" s="129"/>
      <c r="P113" s="130">
        <f>SUM(P114:P126)</f>
        <v>28.960139999999996</v>
      </c>
      <c r="Q113" s="129"/>
      <c r="R113" s="130">
        <f>SUM(R114:R126)</f>
        <v>0</v>
      </c>
      <c r="S113" s="129"/>
      <c r="T113" s="131">
        <f>SUM(T114:T126)</f>
        <v>0</v>
      </c>
      <c r="AR113" s="125" t="s">
        <v>83</v>
      </c>
      <c r="AT113" s="132" t="s">
        <v>74</v>
      </c>
      <c r="AU113" s="132" t="s">
        <v>83</v>
      </c>
      <c r="AY113" s="125" t="s">
        <v>144</v>
      </c>
      <c r="BK113" s="133">
        <f>SUM(BK114:BK126)</f>
        <v>0</v>
      </c>
    </row>
    <row r="114" spans="1:65" s="2" customFormat="1" ht="37.9" customHeight="1">
      <c r="A114" s="31"/>
      <c r="B114" s="136"/>
      <c r="C114" s="137" t="s">
        <v>180</v>
      </c>
      <c r="D114" s="137" t="s">
        <v>147</v>
      </c>
      <c r="E114" s="138" t="s">
        <v>337</v>
      </c>
      <c r="F114" s="139" t="s">
        <v>338</v>
      </c>
      <c r="G114" s="140" t="s">
        <v>170</v>
      </c>
      <c r="H114" s="141">
        <v>7.26</v>
      </c>
      <c r="I114" s="142"/>
      <c r="J114" s="142">
        <f>ROUND(I114*H114,2)</f>
        <v>0</v>
      </c>
      <c r="K114" s="139" t="s">
        <v>157</v>
      </c>
      <c r="L114" s="32"/>
      <c r="M114" s="143" t="s">
        <v>3</v>
      </c>
      <c r="N114" s="144" t="s">
        <v>46</v>
      </c>
      <c r="O114" s="145">
        <v>2.42</v>
      </c>
      <c r="P114" s="145">
        <f>O114*H114</f>
        <v>17.5692</v>
      </c>
      <c r="Q114" s="145">
        <v>0</v>
      </c>
      <c r="R114" s="145">
        <f>Q114*H114</f>
        <v>0</v>
      </c>
      <c r="S114" s="145">
        <v>0</v>
      </c>
      <c r="T114" s="146">
        <f>S114*H114</f>
        <v>0</v>
      </c>
      <c r="U114" s="31"/>
      <c r="V114" s="31"/>
      <c r="W114" s="31"/>
      <c r="X114" s="31"/>
      <c r="Y114" s="31"/>
      <c r="Z114" s="31"/>
      <c r="AA114" s="31"/>
      <c r="AB114" s="31"/>
      <c r="AC114" s="31"/>
      <c r="AD114" s="31"/>
      <c r="AE114" s="31"/>
      <c r="AR114" s="147" t="s">
        <v>152</v>
      </c>
      <c r="AT114" s="147" t="s">
        <v>147</v>
      </c>
      <c r="AU114" s="147" t="s">
        <v>85</v>
      </c>
      <c r="AY114" s="19" t="s">
        <v>144</v>
      </c>
      <c r="BE114" s="148">
        <f>IF(N114="základní",J114,0)</f>
        <v>0</v>
      </c>
      <c r="BF114" s="148">
        <f>IF(N114="snížená",J114,0)</f>
        <v>0</v>
      </c>
      <c r="BG114" s="148">
        <f>IF(N114="zákl. přenesená",J114,0)</f>
        <v>0</v>
      </c>
      <c r="BH114" s="148">
        <f>IF(N114="sníž. přenesená",J114,0)</f>
        <v>0</v>
      </c>
      <c r="BI114" s="148">
        <f>IF(N114="nulová",J114,0)</f>
        <v>0</v>
      </c>
      <c r="BJ114" s="19" t="s">
        <v>83</v>
      </c>
      <c r="BK114" s="148">
        <f>ROUND(I114*H114,2)</f>
        <v>0</v>
      </c>
      <c r="BL114" s="19" t="s">
        <v>152</v>
      </c>
      <c r="BM114" s="147" t="s">
        <v>1276</v>
      </c>
    </row>
    <row r="115" spans="1:47" s="2" customFormat="1" ht="146.25">
      <c r="A115" s="31"/>
      <c r="B115" s="32"/>
      <c r="C115" s="31"/>
      <c r="D115" s="150" t="s">
        <v>158</v>
      </c>
      <c r="E115" s="31"/>
      <c r="F115" s="163" t="s">
        <v>340</v>
      </c>
      <c r="G115" s="31"/>
      <c r="H115" s="31"/>
      <c r="I115" s="31"/>
      <c r="J115" s="31"/>
      <c r="K115" s="31"/>
      <c r="L115" s="32"/>
      <c r="M115" s="164"/>
      <c r="N115" s="165"/>
      <c r="O115" s="52"/>
      <c r="P115" s="52"/>
      <c r="Q115" s="52"/>
      <c r="R115" s="52"/>
      <c r="S115" s="52"/>
      <c r="T115" s="53"/>
      <c r="U115" s="31"/>
      <c r="V115" s="31"/>
      <c r="W115" s="31"/>
      <c r="X115" s="31"/>
      <c r="Y115" s="31"/>
      <c r="Z115" s="31"/>
      <c r="AA115" s="31"/>
      <c r="AB115" s="31"/>
      <c r="AC115" s="31"/>
      <c r="AD115" s="31"/>
      <c r="AE115" s="31"/>
      <c r="AT115" s="19" t="s">
        <v>158</v>
      </c>
      <c r="AU115" s="19" t="s">
        <v>85</v>
      </c>
    </row>
    <row r="116" spans="1:65" s="2" customFormat="1" ht="62.65" customHeight="1">
      <c r="A116" s="31"/>
      <c r="B116" s="136"/>
      <c r="C116" s="137" t="s">
        <v>177</v>
      </c>
      <c r="D116" s="137" t="s">
        <v>147</v>
      </c>
      <c r="E116" s="138" t="s">
        <v>342</v>
      </c>
      <c r="F116" s="139" t="s">
        <v>343</v>
      </c>
      <c r="G116" s="140" t="s">
        <v>170</v>
      </c>
      <c r="H116" s="141">
        <v>36.3</v>
      </c>
      <c r="I116" s="142"/>
      <c r="J116" s="142">
        <f>ROUND(I116*H116,2)</f>
        <v>0</v>
      </c>
      <c r="K116" s="139" t="s">
        <v>157</v>
      </c>
      <c r="L116" s="32"/>
      <c r="M116" s="143" t="s">
        <v>3</v>
      </c>
      <c r="N116" s="144" t="s">
        <v>46</v>
      </c>
      <c r="O116" s="145">
        <v>0.26</v>
      </c>
      <c r="P116" s="145">
        <f>O116*H116</f>
        <v>9.437999999999999</v>
      </c>
      <c r="Q116" s="145">
        <v>0</v>
      </c>
      <c r="R116" s="145">
        <f>Q116*H116</f>
        <v>0</v>
      </c>
      <c r="S116" s="145">
        <v>0</v>
      </c>
      <c r="T116" s="146">
        <f>S116*H116</f>
        <v>0</v>
      </c>
      <c r="U116" s="31"/>
      <c r="V116" s="31"/>
      <c r="W116" s="31"/>
      <c r="X116" s="31"/>
      <c r="Y116" s="31"/>
      <c r="Z116" s="31"/>
      <c r="AA116" s="31"/>
      <c r="AB116" s="31"/>
      <c r="AC116" s="31"/>
      <c r="AD116" s="31"/>
      <c r="AE116" s="31"/>
      <c r="AR116" s="147" t="s">
        <v>152</v>
      </c>
      <c r="AT116" s="147" t="s">
        <v>147</v>
      </c>
      <c r="AU116" s="147" t="s">
        <v>85</v>
      </c>
      <c r="AY116" s="19" t="s">
        <v>144</v>
      </c>
      <c r="BE116" s="148">
        <f>IF(N116="základní",J116,0)</f>
        <v>0</v>
      </c>
      <c r="BF116" s="148">
        <f>IF(N116="snížená",J116,0)</f>
        <v>0</v>
      </c>
      <c r="BG116" s="148">
        <f>IF(N116="zákl. přenesená",J116,0)</f>
        <v>0</v>
      </c>
      <c r="BH116" s="148">
        <f>IF(N116="sníž. přenesená",J116,0)</f>
        <v>0</v>
      </c>
      <c r="BI116" s="148">
        <f>IF(N116="nulová",J116,0)</f>
        <v>0</v>
      </c>
      <c r="BJ116" s="19" t="s">
        <v>83</v>
      </c>
      <c r="BK116" s="148">
        <f>ROUND(I116*H116,2)</f>
        <v>0</v>
      </c>
      <c r="BL116" s="19" t="s">
        <v>152</v>
      </c>
      <c r="BM116" s="147" t="s">
        <v>1277</v>
      </c>
    </row>
    <row r="117" spans="1:47" s="2" customFormat="1" ht="146.25">
      <c r="A117" s="31"/>
      <c r="B117" s="32"/>
      <c r="C117" s="31"/>
      <c r="D117" s="150" t="s">
        <v>158</v>
      </c>
      <c r="E117" s="31"/>
      <c r="F117" s="163" t="s">
        <v>340</v>
      </c>
      <c r="G117" s="31"/>
      <c r="H117" s="31"/>
      <c r="I117" s="31"/>
      <c r="J117" s="31"/>
      <c r="K117" s="31"/>
      <c r="L117" s="32"/>
      <c r="M117" s="164"/>
      <c r="N117" s="165"/>
      <c r="O117" s="52"/>
      <c r="P117" s="52"/>
      <c r="Q117" s="52"/>
      <c r="R117" s="52"/>
      <c r="S117" s="52"/>
      <c r="T117" s="53"/>
      <c r="U117" s="31"/>
      <c r="V117" s="31"/>
      <c r="W117" s="31"/>
      <c r="X117" s="31"/>
      <c r="Y117" s="31"/>
      <c r="Z117" s="31"/>
      <c r="AA117" s="31"/>
      <c r="AB117" s="31"/>
      <c r="AC117" s="31"/>
      <c r="AD117" s="31"/>
      <c r="AE117" s="31"/>
      <c r="AT117" s="19" t="s">
        <v>158</v>
      </c>
      <c r="AU117" s="19" t="s">
        <v>85</v>
      </c>
    </row>
    <row r="118" spans="2:51" s="14" customFormat="1" ht="12">
      <c r="B118" s="156"/>
      <c r="D118" s="150" t="s">
        <v>154</v>
      </c>
      <c r="F118" s="158" t="s">
        <v>1278</v>
      </c>
      <c r="H118" s="159">
        <v>36.3</v>
      </c>
      <c r="L118" s="156"/>
      <c r="M118" s="160"/>
      <c r="N118" s="161"/>
      <c r="O118" s="161"/>
      <c r="P118" s="161"/>
      <c r="Q118" s="161"/>
      <c r="R118" s="161"/>
      <c r="S118" s="161"/>
      <c r="T118" s="162"/>
      <c r="AT118" s="157" t="s">
        <v>154</v>
      </c>
      <c r="AU118" s="157" t="s">
        <v>85</v>
      </c>
      <c r="AV118" s="14" t="s">
        <v>85</v>
      </c>
      <c r="AW118" s="14" t="s">
        <v>4</v>
      </c>
      <c r="AX118" s="14" t="s">
        <v>83</v>
      </c>
      <c r="AY118" s="157" t="s">
        <v>144</v>
      </c>
    </row>
    <row r="119" spans="1:65" s="2" customFormat="1" ht="24.2" customHeight="1">
      <c r="A119" s="31"/>
      <c r="B119" s="136"/>
      <c r="C119" s="137" t="s">
        <v>188</v>
      </c>
      <c r="D119" s="137" t="s">
        <v>147</v>
      </c>
      <c r="E119" s="138" t="s">
        <v>346</v>
      </c>
      <c r="F119" s="139" t="s">
        <v>347</v>
      </c>
      <c r="G119" s="140" t="s">
        <v>170</v>
      </c>
      <c r="H119" s="141">
        <v>7.26</v>
      </c>
      <c r="I119" s="142"/>
      <c r="J119" s="142">
        <f>ROUND(I119*H119,2)</f>
        <v>0</v>
      </c>
      <c r="K119" s="139" t="s">
        <v>157</v>
      </c>
      <c r="L119" s="32"/>
      <c r="M119" s="143" t="s">
        <v>3</v>
      </c>
      <c r="N119" s="144" t="s">
        <v>46</v>
      </c>
      <c r="O119" s="145">
        <v>0.125</v>
      </c>
      <c r="P119" s="145">
        <f>O119*H119</f>
        <v>0.9075</v>
      </c>
      <c r="Q119" s="145">
        <v>0</v>
      </c>
      <c r="R119" s="145">
        <f>Q119*H119</f>
        <v>0</v>
      </c>
      <c r="S119" s="145">
        <v>0</v>
      </c>
      <c r="T119" s="146">
        <f>S119*H119</f>
        <v>0</v>
      </c>
      <c r="U119" s="31"/>
      <c r="V119" s="31"/>
      <c r="W119" s="31"/>
      <c r="X119" s="31"/>
      <c r="Y119" s="31"/>
      <c r="Z119" s="31"/>
      <c r="AA119" s="31"/>
      <c r="AB119" s="31"/>
      <c r="AC119" s="31"/>
      <c r="AD119" s="31"/>
      <c r="AE119" s="31"/>
      <c r="AR119" s="147" t="s">
        <v>152</v>
      </c>
      <c r="AT119" s="147" t="s">
        <v>147</v>
      </c>
      <c r="AU119" s="147" t="s">
        <v>85</v>
      </c>
      <c r="AY119" s="19" t="s">
        <v>144</v>
      </c>
      <c r="BE119" s="148">
        <f>IF(N119="základní",J119,0)</f>
        <v>0</v>
      </c>
      <c r="BF119" s="148">
        <f>IF(N119="snížená",J119,0)</f>
        <v>0</v>
      </c>
      <c r="BG119" s="148">
        <f>IF(N119="zákl. přenesená",J119,0)</f>
        <v>0</v>
      </c>
      <c r="BH119" s="148">
        <f>IF(N119="sníž. přenesená",J119,0)</f>
        <v>0</v>
      </c>
      <c r="BI119" s="148">
        <f>IF(N119="nulová",J119,0)</f>
        <v>0</v>
      </c>
      <c r="BJ119" s="19" t="s">
        <v>83</v>
      </c>
      <c r="BK119" s="148">
        <f>ROUND(I119*H119,2)</f>
        <v>0</v>
      </c>
      <c r="BL119" s="19" t="s">
        <v>152</v>
      </c>
      <c r="BM119" s="147" t="s">
        <v>1279</v>
      </c>
    </row>
    <row r="120" spans="1:47" s="2" customFormat="1" ht="107.25">
      <c r="A120" s="31"/>
      <c r="B120" s="32"/>
      <c r="C120" s="31"/>
      <c r="D120" s="150" t="s">
        <v>158</v>
      </c>
      <c r="E120" s="31"/>
      <c r="F120" s="163" t="s">
        <v>349</v>
      </c>
      <c r="G120" s="31"/>
      <c r="H120" s="31"/>
      <c r="I120" s="31"/>
      <c r="J120" s="31"/>
      <c r="K120" s="31"/>
      <c r="L120" s="32"/>
      <c r="M120" s="164"/>
      <c r="N120" s="165"/>
      <c r="O120" s="52"/>
      <c r="P120" s="52"/>
      <c r="Q120" s="52"/>
      <c r="R120" s="52"/>
      <c r="S120" s="52"/>
      <c r="T120" s="53"/>
      <c r="U120" s="31"/>
      <c r="V120" s="31"/>
      <c r="W120" s="31"/>
      <c r="X120" s="31"/>
      <c r="Y120" s="31"/>
      <c r="Z120" s="31"/>
      <c r="AA120" s="31"/>
      <c r="AB120" s="31"/>
      <c r="AC120" s="31"/>
      <c r="AD120" s="31"/>
      <c r="AE120" s="31"/>
      <c r="AT120" s="19" t="s">
        <v>158</v>
      </c>
      <c r="AU120" s="19" t="s">
        <v>85</v>
      </c>
    </row>
    <row r="121" spans="1:65" s="2" customFormat="1" ht="37.9" customHeight="1">
      <c r="A121" s="31"/>
      <c r="B121" s="136"/>
      <c r="C121" s="137" t="s">
        <v>189</v>
      </c>
      <c r="D121" s="137" t="s">
        <v>147</v>
      </c>
      <c r="E121" s="138" t="s">
        <v>351</v>
      </c>
      <c r="F121" s="139" t="s">
        <v>352</v>
      </c>
      <c r="G121" s="140" t="s">
        <v>170</v>
      </c>
      <c r="H121" s="141">
        <v>174.24</v>
      </c>
      <c r="I121" s="142"/>
      <c r="J121" s="142">
        <f>ROUND(I121*H121,2)</f>
        <v>0</v>
      </c>
      <c r="K121" s="139" t="s">
        <v>157</v>
      </c>
      <c r="L121" s="32"/>
      <c r="M121" s="143" t="s">
        <v>3</v>
      </c>
      <c r="N121" s="144" t="s">
        <v>46</v>
      </c>
      <c r="O121" s="145">
        <v>0.006</v>
      </c>
      <c r="P121" s="145">
        <f>O121*H121</f>
        <v>1.0454400000000001</v>
      </c>
      <c r="Q121" s="145">
        <v>0</v>
      </c>
      <c r="R121" s="145">
        <f>Q121*H121</f>
        <v>0</v>
      </c>
      <c r="S121" s="145">
        <v>0</v>
      </c>
      <c r="T121" s="146">
        <f>S121*H121</f>
        <v>0</v>
      </c>
      <c r="U121" s="31"/>
      <c r="V121" s="31"/>
      <c r="W121" s="31"/>
      <c r="X121" s="31"/>
      <c r="Y121" s="31"/>
      <c r="Z121" s="31"/>
      <c r="AA121" s="31"/>
      <c r="AB121" s="31"/>
      <c r="AC121" s="31"/>
      <c r="AD121" s="31"/>
      <c r="AE121" s="31"/>
      <c r="AR121" s="147" t="s">
        <v>152</v>
      </c>
      <c r="AT121" s="147" t="s">
        <v>147</v>
      </c>
      <c r="AU121" s="147" t="s">
        <v>85</v>
      </c>
      <c r="AY121" s="19" t="s">
        <v>144</v>
      </c>
      <c r="BE121" s="148">
        <f>IF(N121="základní",J121,0)</f>
        <v>0</v>
      </c>
      <c r="BF121" s="148">
        <f>IF(N121="snížená",J121,0)</f>
        <v>0</v>
      </c>
      <c r="BG121" s="148">
        <f>IF(N121="zákl. přenesená",J121,0)</f>
        <v>0</v>
      </c>
      <c r="BH121" s="148">
        <f>IF(N121="sníž. přenesená",J121,0)</f>
        <v>0</v>
      </c>
      <c r="BI121" s="148">
        <f>IF(N121="nulová",J121,0)</f>
        <v>0</v>
      </c>
      <c r="BJ121" s="19" t="s">
        <v>83</v>
      </c>
      <c r="BK121" s="148">
        <f>ROUND(I121*H121,2)</f>
        <v>0</v>
      </c>
      <c r="BL121" s="19" t="s">
        <v>152</v>
      </c>
      <c r="BM121" s="147" t="s">
        <v>1280</v>
      </c>
    </row>
    <row r="122" spans="1:47" s="2" customFormat="1" ht="107.25">
      <c r="A122" s="31"/>
      <c r="B122" s="32"/>
      <c r="C122" s="31"/>
      <c r="D122" s="150" t="s">
        <v>158</v>
      </c>
      <c r="E122" s="31"/>
      <c r="F122" s="163" t="s">
        <v>349</v>
      </c>
      <c r="G122" s="31"/>
      <c r="H122" s="31"/>
      <c r="I122" s="31"/>
      <c r="J122" s="31"/>
      <c r="K122" s="31"/>
      <c r="L122" s="32"/>
      <c r="M122" s="164"/>
      <c r="N122" s="165"/>
      <c r="O122" s="52"/>
      <c r="P122" s="52"/>
      <c r="Q122" s="52"/>
      <c r="R122" s="52"/>
      <c r="S122" s="52"/>
      <c r="T122" s="53"/>
      <c r="U122" s="31"/>
      <c r="V122" s="31"/>
      <c r="W122" s="31"/>
      <c r="X122" s="31"/>
      <c r="Y122" s="31"/>
      <c r="Z122" s="31"/>
      <c r="AA122" s="31"/>
      <c r="AB122" s="31"/>
      <c r="AC122" s="31"/>
      <c r="AD122" s="31"/>
      <c r="AE122" s="31"/>
      <c r="AT122" s="19" t="s">
        <v>158</v>
      </c>
      <c r="AU122" s="19" t="s">
        <v>85</v>
      </c>
    </row>
    <row r="123" spans="2:51" s="14" customFormat="1" ht="12">
      <c r="B123" s="156"/>
      <c r="D123" s="150" t="s">
        <v>154</v>
      </c>
      <c r="F123" s="158" t="s">
        <v>1281</v>
      </c>
      <c r="H123" s="159">
        <v>174.24</v>
      </c>
      <c r="L123" s="156"/>
      <c r="M123" s="160"/>
      <c r="N123" s="161"/>
      <c r="O123" s="161"/>
      <c r="P123" s="161"/>
      <c r="Q123" s="161"/>
      <c r="R123" s="161"/>
      <c r="S123" s="161"/>
      <c r="T123" s="162"/>
      <c r="AT123" s="157" t="s">
        <v>154</v>
      </c>
      <c r="AU123" s="157" t="s">
        <v>85</v>
      </c>
      <c r="AV123" s="14" t="s">
        <v>85</v>
      </c>
      <c r="AW123" s="14" t="s">
        <v>4</v>
      </c>
      <c r="AX123" s="14" t="s">
        <v>83</v>
      </c>
      <c r="AY123" s="157" t="s">
        <v>144</v>
      </c>
    </row>
    <row r="124" spans="1:65" s="2" customFormat="1" ht="37.9" customHeight="1">
      <c r="A124" s="31"/>
      <c r="B124" s="136"/>
      <c r="C124" s="137" t="s">
        <v>193</v>
      </c>
      <c r="D124" s="137" t="s">
        <v>147</v>
      </c>
      <c r="E124" s="138" t="s">
        <v>355</v>
      </c>
      <c r="F124" s="139" t="s">
        <v>356</v>
      </c>
      <c r="G124" s="140" t="s">
        <v>170</v>
      </c>
      <c r="H124" s="141">
        <v>7.26</v>
      </c>
      <c r="I124" s="142"/>
      <c r="J124" s="142">
        <f>ROUND(I124*H124,2)</f>
        <v>0</v>
      </c>
      <c r="K124" s="139" t="s">
        <v>157</v>
      </c>
      <c r="L124" s="32"/>
      <c r="M124" s="143" t="s">
        <v>3</v>
      </c>
      <c r="N124" s="144" t="s">
        <v>46</v>
      </c>
      <c r="O124" s="145">
        <v>0</v>
      </c>
      <c r="P124" s="145">
        <f>O124*H124</f>
        <v>0</v>
      </c>
      <c r="Q124" s="145">
        <v>0</v>
      </c>
      <c r="R124" s="145">
        <f>Q124*H124</f>
        <v>0</v>
      </c>
      <c r="S124" s="145">
        <v>0</v>
      </c>
      <c r="T124" s="146">
        <f>S124*H124</f>
        <v>0</v>
      </c>
      <c r="U124" s="31"/>
      <c r="V124" s="31"/>
      <c r="W124" s="31"/>
      <c r="X124" s="31"/>
      <c r="Y124" s="31"/>
      <c r="Z124" s="31"/>
      <c r="AA124" s="31"/>
      <c r="AB124" s="31"/>
      <c r="AC124" s="31"/>
      <c r="AD124" s="31"/>
      <c r="AE124" s="31"/>
      <c r="AR124" s="147" t="s">
        <v>152</v>
      </c>
      <c r="AT124" s="147" t="s">
        <v>147</v>
      </c>
      <c r="AU124" s="147" t="s">
        <v>85</v>
      </c>
      <c r="AY124" s="19" t="s">
        <v>144</v>
      </c>
      <c r="BE124" s="148">
        <f>IF(N124="základní",J124,0)</f>
        <v>0</v>
      </c>
      <c r="BF124" s="148">
        <f>IF(N124="snížená",J124,0)</f>
        <v>0</v>
      </c>
      <c r="BG124" s="148">
        <f>IF(N124="zákl. přenesená",J124,0)</f>
        <v>0</v>
      </c>
      <c r="BH124" s="148">
        <f>IF(N124="sníž. přenesená",J124,0)</f>
        <v>0</v>
      </c>
      <c r="BI124" s="148">
        <f>IF(N124="nulová",J124,0)</f>
        <v>0</v>
      </c>
      <c r="BJ124" s="19" t="s">
        <v>83</v>
      </c>
      <c r="BK124" s="148">
        <f>ROUND(I124*H124,2)</f>
        <v>0</v>
      </c>
      <c r="BL124" s="19" t="s">
        <v>152</v>
      </c>
      <c r="BM124" s="147" t="s">
        <v>1282</v>
      </c>
    </row>
    <row r="125" spans="1:47" s="2" customFormat="1" ht="107.25">
      <c r="A125" s="31"/>
      <c r="B125" s="32"/>
      <c r="C125" s="31"/>
      <c r="D125" s="150" t="s">
        <v>158</v>
      </c>
      <c r="E125" s="31"/>
      <c r="F125" s="163" t="s">
        <v>358</v>
      </c>
      <c r="G125" s="31"/>
      <c r="H125" s="31"/>
      <c r="I125" s="31"/>
      <c r="J125" s="31"/>
      <c r="K125" s="31"/>
      <c r="L125" s="32"/>
      <c r="M125" s="164"/>
      <c r="N125" s="165"/>
      <c r="O125" s="52"/>
      <c r="P125" s="52"/>
      <c r="Q125" s="52"/>
      <c r="R125" s="52"/>
      <c r="S125" s="52"/>
      <c r="T125" s="53"/>
      <c r="U125" s="31"/>
      <c r="V125" s="31"/>
      <c r="W125" s="31"/>
      <c r="X125" s="31"/>
      <c r="Y125" s="31"/>
      <c r="Z125" s="31"/>
      <c r="AA125" s="31"/>
      <c r="AB125" s="31"/>
      <c r="AC125" s="31"/>
      <c r="AD125" s="31"/>
      <c r="AE125" s="31"/>
      <c r="AT125" s="19" t="s">
        <v>158</v>
      </c>
      <c r="AU125" s="19" t="s">
        <v>85</v>
      </c>
    </row>
    <row r="126" spans="1:65" s="2" customFormat="1" ht="24.2" customHeight="1">
      <c r="A126" s="31"/>
      <c r="B126" s="136"/>
      <c r="C126" s="137" t="s">
        <v>198</v>
      </c>
      <c r="D126" s="137" t="s">
        <v>147</v>
      </c>
      <c r="E126" s="138" t="s">
        <v>958</v>
      </c>
      <c r="F126" s="139" t="s">
        <v>959</v>
      </c>
      <c r="G126" s="140" t="s">
        <v>960</v>
      </c>
      <c r="H126" s="141">
        <v>1</v>
      </c>
      <c r="I126" s="142"/>
      <c r="J126" s="142">
        <f>ROUND(I126*H126,2)</f>
        <v>0</v>
      </c>
      <c r="K126" s="139" t="s">
        <v>151</v>
      </c>
      <c r="L126" s="32"/>
      <c r="M126" s="143" t="s">
        <v>3</v>
      </c>
      <c r="N126" s="144" t="s">
        <v>46</v>
      </c>
      <c r="O126" s="145">
        <v>0</v>
      </c>
      <c r="P126" s="145">
        <f>O126*H126</f>
        <v>0</v>
      </c>
      <c r="Q126" s="145">
        <v>0</v>
      </c>
      <c r="R126" s="145">
        <f>Q126*H126</f>
        <v>0</v>
      </c>
      <c r="S126" s="145">
        <v>0</v>
      </c>
      <c r="T126" s="146">
        <f>S126*H126</f>
        <v>0</v>
      </c>
      <c r="U126" s="31"/>
      <c r="V126" s="31"/>
      <c r="W126" s="31"/>
      <c r="X126" s="31"/>
      <c r="Y126" s="31"/>
      <c r="Z126" s="31"/>
      <c r="AA126" s="31"/>
      <c r="AB126" s="31"/>
      <c r="AC126" s="31"/>
      <c r="AD126" s="31"/>
      <c r="AE126" s="31"/>
      <c r="AR126" s="147" t="s">
        <v>152</v>
      </c>
      <c r="AT126" s="147" t="s">
        <v>147</v>
      </c>
      <c r="AU126" s="147" t="s">
        <v>85</v>
      </c>
      <c r="AY126" s="19" t="s">
        <v>144</v>
      </c>
      <c r="BE126" s="148">
        <f>IF(N126="základní",J126,0)</f>
        <v>0</v>
      </c>
      <c r="BF126" s="148">
        <f>IF(N126="snížená",J126,0)</f>
        <v>0</v>
      </c>
      <c r="BG126" s="148">
        <f>IF(N126="zákl. přenesená",J126,0)</f>
        <v>0</v>
      </c>
      <c r="BH126" s="148">
        <f>IF(N126="sníž. přenesená",J126,0)</f>
        <v>0</v>
      </c>
      <c r="BI126" s="148">
        <f>IF(N126="nulová",J126,0)</f>
        <v>0</v>
      </c>
      <c r="BJ126" s="19" t="s">
        <v>83</v>
      </c>
      <c r="BK126" s="148">
        <f>ROUND(I126*H126,2)</f>
        <v>0</v>
      </c>
      <c r="BL126" s="19" t="s">
        <v>152</v>
      </c>
      <c r="BM126" s="147" t="s">
        <v>1283</v>
      </c>
    </row>
    <row r="127" spans="2:63" s="12" customFormat="1" ht="22.9" customHeight="1">
      <c r="B127" s="124"/>
      <c r="D127" s="125" t="s">
        <v>74</v>
      </c>
      <c r="E127" s="134" t="s">
        <v>359</v>
      </c>
      <c r="F127" s="134" t="s">
        <v>360</v>
      </c>
      <c r="J127" s="135">
        <f>BK127</f>
        <v>0</v>
      </c>
      <c r="L127" s="124"/>
      <c r="M127" s="128"/>
      <c r="N127" s="129"/>
      <c r="O127" s="129"/>
      <c r="P127" s="130">
        <f>SUM(P128:P129)</f>
        <v>15.049000000000001</v>
      </c>
      <c r="Q127" s="129"/>
      <c r="R127" s="130">
        <f>SUM(R128:R129)</f>
        <v>0</v>
      </c>
      <c r="S127" s="129"/>
      <c r="T127" s="131">
        <f>SUM(T128:T129)</f>
        <v>0</v>
      </c>
      <c r="AR127" s="125" t="s">
        <v>83</v>
      </c>
      <c r="AT127" s="132" t="s">
        <v>74</v>
      </c>
      <c r="AU127" s="132" t="s">
        <v>83</v>
      </c>
      <c r="AY127" s="125" t="s">
        <v>144</v>
      </c>
      <c r="BK127" s="133">
        <f>SUM(BK128:BK129)</f>
        <v>0</v>
      </c>
    </row>
    <row r="128" spans="1:65" s="2" customFormat="1" ht="49.15" customHeight="1">
      <c r="A128" s="31"/>
      <c r="B128" s="136"/>
      <c r="C128" s="137" t="s">
        <v>204</v>
      </c>
      <c r="D128" s="137" t="s">
        <v>147</v>
      </c>
      <c r="E128" s="138" t="s">
        <v>362</v>
      </c>
      <c r="F128" s="139" t="s">
        <v>363</v>
      </c>
      <c r="G128" s="140" t="s">
        <v>170</v>
      </c>
      <c r="H128" s="141">
        <v>3.725</v>
      </c>
      <c r="I128" s="142"/>
      <c r="J128" s="142">
        <f>ROUND(I128*H128,2)</f>
        <v>0</v>
      </c>
      <c r="K128" s="139" t="s">
        <v>157</v>
      </c>
      <c r="L128" s="32"/>
      <c r="M128" s="143" t="s">
        <v>3</v>
      </c>
      <c r="N128" s="144" t="s">
        <v>46</v>
      </c>
      <c r="O128" s="145">
        <v>4.04</v>
      </c>
      <c r="P128" s="145">
        <f>O128*H128</f>
        <v>15.049000000000001</v>
      </c>
      <c r="Q128" s="145">
        <v>0</v>
      </c>
      <c r="R128" s="145">
        <f>Q128*H128</f>
        <v>0</v>
      </c>
      <c r="S128" s="145">
        <v>0</v>
      </c>
      <c r="T128" s="146">
        <f>S128*H128</f>
        <v>0</v>
      </c>
      <c r="U128" s="31"/>
      <c r="V128" s="31"/>
      <c r="W128" s="31"/>
      <c r="X128" s="31"/>
      <c r="Y128" s="31"/>
      <c r="Z128" s="31"/>
      <c r="AA128" s="31"/>
      <c r="AB128" s="31"/>
      <c r="AC128" s="31"/>
      <c r="AD128" s="31"/>
      <c r="AE128" s="31"/>
      <c r="AR128" s="147" t="s">
        <v>152</v>
      </c>
      <c r="AT128" s="147" t="s">
        <v>147</v>
      </c>
      <c r="AU128" s="147" t="s">
        <v>85</v>
      </c>
      <c r="AY128" s="19" t="s">
        <v>144</v>
      </c>
      <c r="BE128" s="148">
        <f>IF(N128="základní",J128,0)</f>
        <v>0</v>
      </c>
      <c r="BF128" s="148">
        <f>IF(N128="snížená",J128,0)</f>
        <v>0</v>
      </c>
      <c r="BG128" s="148">
        <f>IF(N128="zákl. přenesená",J128,0)</f>
        <v>0</v>
      </c>
      <c r="BH128" s="148">
        <f>IF(N128="sníž. přenesená",J128,0)</f>
        <v>0</v>
      </c>
      <c r="BI128" s="148">
        <f>IF(N128="nulová",J128,0)</f>
        <v>0</v>
      </c>
      <c r="BJ128" s="19" t="s">
        <v>83</v>
      </c>
      <c r="BK128" s="148">
        <f>ROUND(I128*H128,2)</f>
        <v>0</v>
      </c>
      <c r="BL128" s="19" t="s">
        <v>152</v>
      </c>
      <c r="BM128" s="147" t="s">
        <v>1284</v>
      </c>
    </row>
    <row r="129" spans="1:47" s="2" customFormat="1" ht="87.75">
      <c r="A129" s="31"/>
      <c r="B129" s="32"/>
      <c r="C129" s="31"/>
      <c r="D129" s="150" t="s">
        <v>158</v>
      </c>
      <c r="E129" s="31"/>
      <c r="F129" s="163" t="s">
        <v>365</v>
      </c>
      <c r="G129" s="31"/>
      <c r="H129" s="31"/>
      <c r="I129" s="31"/>
      <c r="J129" s="31"/>
      <c r="K129" s="31"/>
      <c r="L129" s="32"/>
      <c r="M129" s="164"/>
      <c r="N129" s="165"/>
      <c r="O129" s="52"/>
      <c r="P129" s="52"/>
      <c r="Q129" s="52"/>
      <c r="R129" s="52"/>
      <c r="S129" s="52"/>
      <c r="T129" s="53"/>
      <c r="U129" s="31"/>
      <c r="V129" s="31"/>
      <c r="W129" s="31"/>
      <c r="X129" s="31"/>
      <c r="Y129" s="31"/>
      <c r="Z129" s="31"/>
      <c r="AA129" s="31"/>
      <c r="AB129" s="31"/>
      <c r="AC129" s="31"/>
      <c r="AD129" s="31"/>
      <c r="AE129" s="31"/>
      <c r="AT129" s="19" t="s">
        <v>158</v>
      </c>
      <c r="AU129" s="19" t="s">
        <v>85</v>
      </c>
    </row>
    <row r="130" spans="2:63" s="12" customFormat="1" ht="25.9" customHeight="1">
      <c r="B130" s="124"/>
      <c r="D130" s="125" t="s">
        <v>74</v>
      </c>
      <c r="E130" s="126" t="s">
        <v>366</v>
      </c>
      <c r="F130" s="126" t="s">
        <v>367</v>
      </c>
      <c r="J130" s="127">
        <f>BK130</f>
        <v>0</v>
      </c>
      <c r="L130" s="124"/>
      <c r="M130" s="128"/>
      <c r="N130" s="129"/>
      <c r="O130" s="129"/>
      <c r="P130" s="130">
        <f>P131+P213</f>
        <v>394.049</v>
      </c>
      <c r="Q130" s="129"/>
      <c r="R130" s="130">
        <f>R131+R213</f>
        <v>0.4631120000000001</v>
      </c>
      <c r="S130" s="129"/>
      <c r="T130" s="131">
        <f>T131+T213</f>
        <v>0</v>
      </c>
      <c r="AR130" s="125" t="s">
        <v>85</v>
      </c>
      <c r="AT130" s="132" t="s">
        <v>74</v>
      </c>
      <c r="AU130" s="132" t="s">
        <v>75</v>
      </c>
      <c r="AY130" s="125" t="s">
        <v>144</v>
      </c>
      <c r="BK130" s="133">
        <f>BK131+BK213</f>
        <v>0</v>
      </c>
    </row>
    <row r="131" spans="2:63" s="12" customFormat="1" ht="22.9" customHeight="1">
      <c r="B131" s="124"/>
      <c r="D131" s="125" t="s">
        <v>74</v>
      </c>
      <c r="E131" s="134" t="s">
        <v>1285</v>
      </c>
      <c r="F131" s="134" t="s">
        <v>1286</v>
      </c>
      <c r="J131" s="135">
        <f>BK131</f>
        <v>0</v>
      </c>
      <c r="L131" s="124"/>
      <c r="M131" s="128"/>
      <c r="N131" s="129"/>
      <c r="O131" s="129"/>
      <c r="P131" s="130">
        <f>SUM(P132:P212)</f>
        <v>382.54699999999997</v>
      </c>
      <c r="Q131" s="129"/>
      <c r="R131" s="130">
        <f>SUM(R132:R212)</f>
        <v>0.4505160000000001</v>
      </c>
      <c r="S131" s="129"/>
      <c r="T131" s="131">
        <f>SUM(T132:T212)</f>
        <v>0</v>
      </c>
      <c r="AR131" s="125" t="s">
        <v>85</v>
      </c>
      <c r="AT131" s="132" t="s">
        <v>74</v>
      </c>
      <c r="AU131" s="132" t="s">
        <v>83</v>
      </c>
      <c r="AY131" s="125" t="s">
        <v>144</v>
      </c>
      <c r="BK131" s="133">
        <f>SUM(BK132:BK212)</f>
        <v>0</v>
      </c>
    </row>
    <row r="132" spans="1:65" s="2" customFormat="1" ht="37.9" customHeight="1">
      <c r="A132" s="31"/>
      <c r="B132" s="136"/>
      <c r="C132" s="137" t="s">
        <v>209</v>
      </c>
      <c r="D132" s="137" t="s">
        <v>147</v>
      </c>
      <c r="E132" s="138" t="s">
        <v>1287</v>
      </c>
      <c r="F132" s="139" t="s">
        <v>1288</v>
      </c>
      <c r="G132" s="140" t="s">
        <v>201</v>
      </c>
      <c r="H132" s="141">
        <v>36</v>
      </c>
      <c r="I132" s="142"/>
      <c r="J132" s="142">
        <f>ROUND(I132*H132,2)</f>
        <v>0</v>
      </c>
      <c r="K132" s="139" t="s">
        <v>157</v>
      </c>
      <c r="L132" s="32"/>
      <c r="M132" s="143" t="s">
        <v>3</v>
      </c>
      <c r="N132" s="144" t="s">
        <v>46</v>
      </c>
      <c r="O132" s="145">
        <v>0.094</v>
      </c>
      <c r="P132" s="145">
        <f>O132*H132</f>
        <v>3.384</v>
      </c>
      <c r="Q132" s="145">
        <v>0</v>
      </c>
      <c r="R132" s="145">
        <f>Q132*H132</f>
        <v>0</v>
      </c>
      <c r="S132" s="145">
        <v>0</v>
      </c>
      <c r="T132" s="146">
        <f>S132*H132</f>
        <v>0</v>
      </c>
      <c r="U132" s="31"/>
      <c r="V132" s="31"/>
      <c r="W132" s="31"/>
      <c r="X132" s="31"/>
      <c r="Y132" s="31"/>
      <c r="Z132" s="31"/>
      <c r="AA132" s="31"/>
      <c r="AB132" s="31"/>
      <c r="AC132" s="31"/>
      <c r="AD132" s="31"/>
      <c r="AE132" s="31"/>
      <c r="AR132" s="147" t="s">
        <v>218</v>
      </c>
      <c r="AT132" s="147" t="s">
        <v>147</v>
      </c>
      <c r="AU132" s="147" t="s">
        <v>85</v>
      </c>
      <c r="AY132" s="19" t="s">
        <v>144</v>
      </c>
      <c r="BE132" s="148">
        <f>IF(N132="základní",J132,0)</f>
        <v>0</v>
      </c>
      <c r="BF132" s="148">
        <f>IF(N132="snížená",J132,0)</f>
        <v>0</v>
      </c>
      <c r="BG132" s="148">
        <f>IF(N132="zákl. přenesená",J132,0)</f>
        <v>0</v>
      </c>
      <c r="BH132" s="148">
        <f>IF(N132="sníž. přenesená",J132,0)</f>
        <v>0</v>
      </c>
      <c r="BI132" s="148">
        <f>IF(N132="nulová",J132,0)</f>
        <v>0</v>
      </c>
      <c r="BJ132" s="19" t="s">
        <v>83</v>
      </c>
      <c r="BK132" s="148">
        <f>ROUND(I132*H132,2)</f>
        <v>0</v>
      </c>
      <c r="BL132" s="19" t="s">
        <v>218</v>
      </c>
      <c r="BM132" s="147" t="s">
        <v>1289</v>
      </c>
    </row>
    <row r="133" spans="2:51" s="13" customFormat="1" ht="12">
      <c r="B133" s="149"/>
      <c r="D133" s="150" t="s">
        <v>154</v>
      </c>
      <c r="E133" s="151" t="s">
        <v>3</v>
      </c>
      <c r="F133" s="152" t="s">
        <v>1264</v>
      </c>
      <c r="H133" s="151" t="s">
        <v>3</v>
      </c>
      <c r="L133" s="149"/>
      <c r="M133" s="153"/>
      <c r="N133" s="154"/>
      <c r="O133" s="154"/>
      <c r="P133" s="154"/>
      <c r="Q133" s="154"/>
      <c r="R133" s="154"/>
      <c r="S133" s="154"/>
      <c r="T133" s="155"/>
      <c r="AT133" s="151" t="s">
        <v>154</v>
      </c>
      <c r="AU133" s="151" t="s">
        <v>85</v>
      </c>
      <c r="AV133" s="13" t="s">
        <v>83</v>
      </c>
      <c r="AW133" s="13" t="s">
        <v>37</v>
      </c>
      <c r="AX133" s="13" t="s">
        <v>75</v>
      </c>
      <c r="AY133" s="151" t="s">
        <v>144</v>
      </c>
    </row>
    <row r="134" spans="2:51" s="14" customFormat="1" ht="12">
      <c r="B134" s="156"/>
      <c r="D134" s="150" t="s">
        <v>154</v>
      </c>
      <c r="E134" s="157" t="s">
        <v>3</v>
      </c>
      <c r="F134" s="158" t="s">
        <v>266</v>
      </c>
      <c r="H134" s="159">
        <v>36</v>
      </c>
      <c r="L134" s="156"/>
      <c r="M134" s="160"/>
      <c r="N134" s="161"/>
      <c r="O134" s="161"/>
      <c r="P134" s="161"/>
      <c r="Q134" s="161"/>
      <c r="R134" s="161"/>
      <c r="S134" s="161"/>
      <c r="T134" s="162"/>
      <c r="AT134" s="157" t="s">
        <v>154</v>
      </c>
      <c r="AU134" s="157" t="s">
        <v>85</v>
      </c>
      <c r="AV134" s="14" t="s">
        <v>85</v>
      </c>
      <c r="AW134" s="14" t="s">
        <v>37</v>
      </c>
      <c r="AX134" s="14" t="s">
        <v>83</v>
      </c>
      <c r="AY134" s="157" t="s">
        <v>144</v>
      </c>
    </row>
    <row r="135" spans="1:65" s="2" customFormat="1" ht="14.45" customHeight="1">
      <c r="A135" s="31"/>
      <c r="B135" s="136"/>
      <c r="C135" s="173" t="s">
        <v>9</v>
      </c>
      <c r="D135" s="173" t="s">
        <v>174</v>
      </c>
      <c r="E135" s="174" t="s">
        <v>1290</v>
      </c>
      <c r="F135" s="175" t="s">
        <v>1291</v>
      </c>
      <c r="G135" s="176" t="s">
        <v>201</v>
      </c>
      <c r="H135" s="177">
        <v>39.6</v>
      </c>
      <c r="I135" s="178"/>
      <c r="J135" s="178">
        <f>ROUND(I135*H135,2)</f>
        <v>0</v>
      </c>
      <c r="K135" s="175" t="s">
        <v>157</v>
      </c>
      <c r="L135" s="179"/>
      <c r="M135" s="180" t="s">
        <v>3</v>
      </c>
      <c r="N135" s="181" t="s">
        <v>46</v>
      </c>
      <c r="O135" s="145">
        <v>0</v>
      </c>
      <c r="P135" s="145">
        <f>O135*H135</f>
        <v>0</v>
      </c>
      <c r="Q135" s="145">
        <v>7E-05</v>
      </c>
      <c r="R135" s="145">
        <f>Q135*H135</f>
        <v>0.0027719999999999997</v>
      </c>
      <c r="S135" s="145">
        <v>0</v>
      </c>
      <c r="T135" s="146">
        <f>S135*H135</f>
        <v>0</v>
      </c>
      <c r="U135" s="31"/>
      <c r="V135" s="31"/>
      <c r="W135" s="31"/>
      <c r="X135" s="31"/>
      <c r="Y135" s="31"/>
      <c r="Z135" s="31"/>
      <c r="AA135" s="31"/>
      <c r="AB135" s="31"/>
      <c r="AC135" s="31"/>
      <c r="AD135" s="31"/>
      <c r="AE135" s="31"/>
      <c r="AR135" s="147" t="s">
        <v>248</v>
      </c>
      <c r="AT135" s="147" t="s">
        <v>174</v>
      </c>
      <c r="AU135" s="147" t="s">
        <v>85</v>
      </c>
      <c r="AY135" s="19" t="s">
        <v>144</v>
      </c>
      <c r="BE135" s="148">
        <f>IF(N135="základní",J135,0)</f>
        <v>0</v>
      </c>
      <c r="BF135" s="148">
        <f>IF(N135="snížená",J135,0)</f>
        <v>0</v>
      </c>
      <c r="BG135" s="148">
        <f>IF(N135="zákl. přenesená",J135,0)</f>
        <v>0</v>
      </c>
      <c r="BH135" s="148">
        <f>IF(N135="sníž. přenesená",J135,0)</f>
        <v>0</v>
      </c>
      <c r="BI135" s="148">
        <f>IF(N135="nulová",J135,0)</f>
        <v>0</v>
      </c>
      <c r="BJ135" s="19" t="s">
        <v>83</v>
      </c>
      <c r="BK135" s="148">
        <f>ROUND(I135*H135,2)</f>
        <v>0</v>
      </c>
      <c r="BL135" s="19" t="s">
        <v>218</v>
      </c>
      <c r="BM135" s="147" t="s">
        <v>1292</v>
      </c>
    </row>
    <row r="136" spans="2:51" s="14" customFormat="1" ht="12">
      <c r="B136" s="156"/>
      <c r="D136" s="150" t="s">
        <v>154</v>
      </c>
      <c r="F136" s="158" t="s">
        <v>1293</v>
      </c>
      <c r="H136" s="159">
        <v>39.6</v>
      </c>
      <c r="L136" s="156"/>
      <c r="M136" s="160"/>
      <c r="N136" s="161"/>
      <c r="O136" s="161"/>
      <c r="P136" s="161"/>
      <c r="Q136" s="161"/>
      <c r="R136" s="161"/>
      <c r="S136" s="161"/>
      <c r="T136" s="162"/>
      <c r="AT136" s="157" t="s">
        <v>154</v>
      </c>
      <c r="AU136" s="157" t="s">
        <v>85</v>
      </c>
      <c r="AV136" s="14" t="s">
        <v>85</v>
      </c>
      <c r="AW136" s="14" t="s">
        <v>4</v>
      </c>
      <c r="AX136" s="14" t="s">
        <v>83</v>
      </c>
      <c r="AY136" s="157" t="s">
        <v>144</v>
      </c>
    </row>
    <row r="137" spans="1:65" s="2" customFormat="1" ht="49.15" customHeight="1">
      <c r="A137" s="31"/>
      <c r="B137" s="136"/>
      <c r="C137" s="137" t="s">
        <v>218</v>
      </c>
      <c r="D137" s="137" t="s">
        <v>147</v>
      </c>
      <c r="E137" s="138" t="s">
        <v>1294</v>
      </c>
      <c r="F137" s="139" t="s">
        <v>1295</v>
      </c>
      <c r="G137" s="140" t="s">
        <v>156</v>
      </c>
      <c r="H137" s="141">
        <v>78</v>
      </c>
      <c r="I137" s="142"/>
      <c r="J137" s="142">
        <f>ROUND(I137*H137,2)</f>
        <v>0</v>
      </c>
      <c r="K137" s="139" t="s">
        <v>157</v>
      </c>
      <c r="L137" s="32"/>
      <c r="M137" s="143" t="s">
        <v>3</v>
      </c>
      <c r="N137" s="144" t="s">
        <v>46</v>
      </c>
      <c r="O137" s="145">
        <v>0.2</v>
      </c>
      <c r="P137" s="145">
        <f>O137*H137</f>
        <v>15.600000000000001</v>
      </c>
      <c r="Q137" s="145">
        <v>0</v>
      </c>
      <c r="R137" s="145">
        <f>Q137*H137</f>
        <v>0</v>
      </c>
      <c r="S137" s="145">
        <v>0</v>
      </c>
      <c r="T137" s="146">
        <f>S137*H137</f>
        <v>0</v>
      </c>
      <c r="U137" s="31"/>
      <c r="V137" s="31"/>
      <c r="W137" s="31"/>
      <c r="X137" s="31"/>
      <c r="Y137" s="31"/>
      <c r="Z137" s="31"/>
      <c r="AA137" s="31"/>
      <c r="AB137" s="31"/>
      <c r="AC137" s="31"/>
      <c r="AD137" s="31"/>
      <c r="AE137" s="31"/>
      <c r="AR137" s="147" t="s">
        <v>218</v>
      </c>
      <c r="AT137" s="147" t="s">
        <v>147</v>
      </c>
      <c r="AU137" s="147" t="s">
        <v>85</v>
      </c>
      <c r="AY137" s="19" t="s">
        <v>144</v>
      </c>
      <c r="BE137" s="148">
        <f>IF(N137="základní",J137,0)</f>
        <v>0</v>
      </c>
      <c r="BF137" s="148">
        <f>IF(N137="snížená",J137,0)</f>
        <v>0</v>
      </c>
      <c r="BG137" s="148">
        <f>IF(N137="zákl. přenesená",J137,0)</f>
        <v>0</v>
      </c>
      <c r="BH137" s="148">
        <f>IF(N137="sníž. přenesená",J137,0)</f>
        <v>0</v>
      </c>
      <c r="BI137" s="148">
        <f>IF(N137="nulová",J137,0)</f>
        <v>0</v>
      </c>
      <c r="BJ137" s="19" t="s">
        <v>83</v>
      </c>
      <c r="BK137" s="148">
        <f>ROUND(I137*H137,2)</f>
        <v>0</v>
      </c>
      <c r="BL137" s="19" t="s">
        <v>218</v>
      </c>
      <c r="BM137" s="147" t="s">
        <v>1296</v>
      </c>
    </row>
    <row r="138" spans="2:51" s="13" customFormat="1" ht="12">
      <c r="B138" s="149"/>
      <c r="D138" s="150" t="s">
        <v>154</v>
      </c>
      <c r="E138" s="151" t="s">
        <v>3</v>
      </c>
      <c r="F138" s="152" t="s">
        <v>1264</v>
      </c>
      <c r="H138" s="151" t="s">
        <v>3</v>
      </c>
      <c r="L138" s="149"/>
      <c r="M138" s="153"/>
      <c r="N138" s="154"/>
      <c r="O138" s="154"/>
      <c r="P138" s="154"/>
      <c r="Q138" s="154"/>
      <c r="R138" s="154"/>
      <c r="S138" s="154"/>
      <c r="T138" s="155"/>
      <c r="AT138" s="151" t="s">
        <v>154</v>
      </c>
      <c r="AU138" s="151" t="s">
        <v>85</v>
      </c>
      <c r="AV138" s="13" t="s">
        <v>83</v>
      </c>
      <c r="AW138" s="13" t="s">
        <v>37</v>
      </c>
      <c r="AX138" s="13" t="s">
        <v>75</v>
      </c>
      <c r="AY138" s="151" t="s">
        <v>144</v>
      </c>
    </row>
    <row r="139" spans="2:51" s="14" customFormat="1" ht="12">
      <c r="B139" s="156"/>
      <c r="D139" s="150" t="s">
        <v>154</v>
      </c>
      <c r="E139" s="157" t="s">
        <v>3</v>
      </c>
      <c r="F139" s="158" t="s">
        <v>488</v>
      </c>
      <c r="H139" s="159">
        <v>78</v>
      </c>
      <c r="L139" s="156"/>
      <c r="M139" s="160"/>
      <c r="N139" s="161"/>
      <c r="O139" s="161"/>
      <c r="P139" s="161"/>
      <c r="Q139" s="161"/>
      <c r="R139" s="161"/>
      <c r="S139" s="161"/>
      <c r="T139" s="162"/>
      <c r="AT139" s="157" t="s">
        <v>154</v>
      </c>
      <c r="AU139" s="157" t="s">
        <v>85</v>
      </c>
      <c r="AV139" s="14" t="s">
        <v>85</v>
      </c>
      <c r="AW139" s="14" t="s">
        <v>37</v>
      </c>
      <c r="AX139" s="14" t="s">
        <v>83</v>
      </c>
      <c r="AY139" s="157" t="s">
        <v>144</v>
      </c>
    </row>
    <row r="140" spans="1:65" s="2" customFormat="1" ht="24.2" customHeight="1">
      <c r="A140" s="31"/>
      <c r="B140" s="136"/>
      <c r="C140" s="173" t="s">
        <v>222</v>
      </c>
      <c r="D140" s="173" t="s">
        <v>174</v>
      </c>
      <c r="E140" s="174" t="s">
        <v>1297</v>
      </c>
      <c r="F140" s="175" t="s">
        <v>1298</v>
      </c>
      <c r="G140" s="176" t="s">
        <v>156</v>
      </c>
      <c r="H140" s="177">
        <v>78</v>
      </c>
      <c r="I140" s="178"/>
      <c r="J140" s="178">
        <f>ROUND(I140*H140,2)</f>
        <v>0</v>
      </c>
      <c r="K140" s="175" t="s">
        <v>157</v>
      </c>
      <c r="L140" s="179"/>
      <c r="M140" s="180" t="s">
        <v>3</v>
      </c>
      <c r="N140" s="181" t="s">
        <v>46</v>
      </c>
      <c r="O140" s="145">
        <v>0</v>
      </c>
      <c r="P140" s="145">
        <f>O140*H140</f>
        <v>0</v>
      </c>
      <c r="Q140" s="145">
        <v>5E-05</v>
      </c>
      <c r="R140" s="145">
        <f>Q140*H140</f>
        <v>0.0039000000000000003</v>
      </c>
      <c r="S140" s="145">
        <v>0</v>
      </c>
      <c r="T140" s="146">
        <f>S140*H140</f>
        <v>0</v>
      </c>
      <c r="U140" s="31"/>
      <c r="V140" s="31"/>
      <c r="W140" s="31"/>
      <c r="X140" s="31"/>
      <c r="Y140" s="31"/>
      <c r="Z140" s="31"/>
      <c r="AA140" s="31"/>
      <c r="AB140" s="31"/>
      <c r="AC140" s="31"/>
      <c r="AD140" s="31"/>
      <c r="AE140" s="31"/>
      <c r="AR140" s="147" t="s">
        <v>248</v>
      </c>
      <c r="AT140" s="147" t="s">
        <v>174</v>
      </c>
      <c r="AU140" s="147" t="s">
        <v>85</v>
      </c>
      <c r="AY140" s="19" t="s">
        <v>144</v>
      </c>
      <c r="BE140" s="148">
        <f>IF(N140="základní",J140,0)</f>
        <v>0</v>
      </c>
      <c r="BF140" s="148">
        <f>IF(N140="snížená",J140,0)</f>
        <v>0</v>
      </c>
      <c r="BG140" s="148">
        <f>IF(N140="zákl. přenesená",J140,0)</f>
        <v>0</v>
      </c>
      <c r="BH140" s="148">
        <f>IF(N140="sníž. přenesená",J140,0)</f>
        <v>0</v>
      </c>
      <c r="BI140" s="148">
        <f>IF(N140="nulová",J140,0)</f>
        <v>0</v>
      </c>
      <c r="BJ140" s="19" t="s">
        <v>83</v>
      </c>
      <c r="BK140" s="148">
        <f>ROUND(I140*H140,2)</f>
        <v>0</v>
      </c>
      <c r="BL140" s="19" t="s">
        <v>218</v>
      </c>
      <c r="BM140" s="147" t="s">
        <v>1299</v>
      </c>
    </row>
    <row r="141" spans="1:65" s="2" customFormat="1" ht="37.9" customHeight="1">
      <c r="A141" s="31"/>
      <c r="B141" s="136"/>
      <c r="C141" s="137" t="s">
        <v>223</v>
      </c>
      <c r="D141" s="137" t="s">
        <v>147</v>
      </c>
      <c r="E141" s="138" t="s">
        <v>1300</v>
      </c>
      <c r="F141" s="139" t="s">
        <v>1301</v>
      </c>
      <c r="G141" s="140" t="s">
        <v>156</v>
      </c>
      <c r="H141" s="141">
        <v>150</v>
      </c>
      <c r="I141" s="142"/>
      <c r="J141" s="142">
        <f>ROUND(I141*H141,2)</f>
        <v>0</v>
      </c>
      <c r="K141" s="139" t="s">
        <v>157</v>
      </c>
      <c r="L141" s="32"/>
      <c r="M141" s="143" t="s">
        <v>3</v>
      </c>
      <c r="N141" s="144" t="s">
        <v>46</v>
      </c>
      <c r="O141" s="145">
        <v>0.091</v>
      </c>
      <c r="P141" s="145">
        <f>O141*H141</f>
        <v>13.65</v>
      </c>
      <c r="Q141" s="145">
        <v>0</v>
      </c>
      <c r="R141" s="145">
        <f>Q141*H141</f>
        <v>0</v>
      </c>
      <c r="S141" s="145">
        <v>0</v>
      </c>
      <c r="T141" s="146">
        <f>S141*H141</f>
        <v>0</v>
      </c>
      <c r="U141" s="31"/>
      <c r="V141" s="31"/>
      <c r="W141" s="31"/>
      <c r="X141" s="31"/>
      <c r="Y141" s="31"/>
      <c r="Z141" s="31"/>
      <c r="AA141" s="31"/>
      <c r="AB141" s="31"/>
      <c r="AC141" s="31"/>
      <c r="AD141" s="31"/>
      <c r="AE141" s="31"/>
      <c r="AR141" s="147" t="s">
        <v>218</v>
      </c>
      <c r="AT141" s="147" t="s">
        <v>147</v>
      </c>
      <c r="AU141" s="147" t="s">
        <v>85</v>
      </c>
      <c r="AY141" s="19" t="s">
        <v>144</v>
      </c>
      <c r="BE141" s="148">
        <f>IF(N141="základní",J141,0)</f>
        <v>0</v>
      </c>
      <c r="BF141" s="148">
        <f>IF(N141="snížená",J141,0)</f>
        <v>0</v>
      </c>
      <c r="BG141" s="148">
        <f>IF(N141="zákl. přenesená",J141,0)</f>
        <v>0</v>
      </c>
      <c r="BH141" s="148">
        <f>IF(N141="sníž. přenesená",J141,0)</f>
        <v>0</v>
      </c>
      <c r="BI141" s="148">
        <f>IF(N141="nulová",J141,0)</f>
        <v>0</v>
      </c>
      <c r="BJ141" s="19" t="s">
        <v>83</v>
      </c>
      <c r="BK141" s="148">
        <f>ROUND(I141*H141,2)</f>
        <v>0</v>
      </c>
      <c r="BL141" s="19" t="s">
        <v>218</v>
      </c>
      <c r="BM141" s="147" t="s">
        <v>1302</v>
      </c>
    </row>
    <row r="142" spans="2:51" s="13" customFormat="1" ht="12">
      <c r="B142" s="149"/>
      <c r="D142" s="150" t="s">
        <v>154</v>
      </c>
      <c r="E142" s="151" t="s">
        <v>3</v>
      </c>
      <c r="F142" s="152" t="s">
        <v>1264</v>
      </c>
      <c r="H142" s="151" t="s">
        <v>3</v>
      </c>
      <c r="L142" s="149"/>
      <c r="M142" s="153"/>
      <c r="N142" s="154"/>
      <c r="O142" s="154"/>
      <c r="P142" s="154"/>
      <c r="Q142" s="154"/>
      <c r="R142" s="154"/>
      <c r="S142" s="154"/>
      <c r="T142" s="155"/>
      <c r="AT142" s="151" t="s">
        <v>154</v>
      </c>
      <c r="AU142" s="151" t="s">
        <v>85</v>
      </c>
      <c r="AV142" s="13" t="s">
        <v>83</v>
      </c>
      <c r="AW142" s="13" t="s">
        <v>37</v>
      </c>
      <c r="AX142" s="13" t="s">
        <v>75</v>
      </c>
      <c r="AY142" s="151" t="s">
        <v>144</v>
      </c>
    </row>
    <row r="143" spans="2:51" s="14" customFormat="1" ht="12">
      <c r="B143" s="156"/>
      <c r="D143" s="150" t="s">
        <v>154</v>
      </c>
      <c r="E143" s="157" t="s">
        <v>3</v>
      </c>
      <c r="F143" s="158" t="s">
        <v>1303</v>
      </c>
      <c r="H143" s="159">
        <v>150</v>
      </c>
      <c r="L143" s="156"/>
      <c r="M143" s="160"/>
      <c r="N143" s="161"/>
      <c r="O143" s="161"/>
      <c r="P143" s="161"/>
      <c r="Q143" s="161"/>
      <c r="R143" s="161"/>
      <c r="S143" s="161"/>
      <c r="T143" s="162"/>
      <c r="AT143" s="157" t="s">
        <v>154</v>
      </c>
      <c r="AU143" s="157" t="s">
        <v>85</v>
      </c>
      <c r="AV143" s="14" t="s">
        <v>85</v>
      </c>
      <c r="AW143" s="14" t="s">
        <v>37</v>
      </c>
      <c r="AX143" s="14" t="s">
        <v>83</v>
      </c>
      <c r="AY143" s="157" t="s">
        <v>144</v>
      </c>
    </row>
    <row r="144" spans="1:65" s="2" customFormat="1" ht="14.45" customHeight="1">
      <c r="A144" s="31"/>
      <c r="B144" s="136"/>
      <c r="C144" s="173" t="s">
        <v>224</v>
      </c>
      <c r="D144" s="173" t="s">
        <v>174</v>
      </c>
      <c r="E144" s="174" t="s">
        <v>1304</v>
      </c>
      <c r="F144" s="175" t="s">
        <v>1305</v>
      </c>
      <c r="G144" s="176" t="s">
        <v>156</v>
      </c>
      <c r="H144" s="177">
        <v>150</v>
      </c>
      <c r="I144" s="178"/>
      <c r="J144" s="178">
        <f>ROUND(I144*H144,2)</f>
        <v>0</v>
      </c>
      <c r="K144" s="175" t="s">
        <v>157</v>
      </c>
      <c r="L144" s="179"/>
      <c r="M144" s="180" t="s">
        <v>3</v>
      </c>
      <c r="N144" s="181" t="s">
        <v>46</v>
      </c>
      <c r="O144" s="145">
        <v>0</v>
      </c>
      <c r="P144" s="145">
        <f>O144*H144</f>
        <v>0</v>
      </c>
      <c r="Q144" s="145">
        <v>3E-05</v>
      </c>
      <c r="R144" s="145">
        <f>Q144*H144</f>
        <v>0.0045000000000000005</v>
      </c>
      <c r="S144" s="145">
        <v>0</v>
      </c>
      <c r="T144" s="146">
        <f>S144*H144</f>
        <v>0</v>
      </c>
      <c r="U144" s="31"/>
      <c r="V144" s="31"/>
      <c r="W144" s="31"/>
      <c r="X144" s="31"/>
      <c r="Y144" s="31"/>
      <c r="Z144" s="31"/>
      <c r="AA144" s="31"/>
      <c r="AB144" s="31"/>
      <c r="AC144" s="31"/>
      <c r="AD144" s="31"/>
      <c r="AE144" s="31"/>
      <c r="AR144" s="147" t="s">
        <v>248</v>
      </c>
      <c r="AT144" s="147" t="s">
        <v>174</v>
      </c>
      <c r="AU144" s="147" t="s">
        <v>85</v>
      </c>
      <c r="AY144" s="19" t="s">
        <v>144</v>
      </c>
      <c r="BE144" s="148">
        <f>IF(N144="základní",J144,0)</f>
        <v>0</v>
      </c>
      <c r="BF144" s="148">
        <f>IF(N144="snížená",J144,0)</f>
        <v>0</v>
      </c>
      <c r="BG144" s="148">
        <f>IF(N144="zákl. přenesená",J144,0)</f>
        <v>0</v>
      </c>
      <c r="BH144" s="148">
        <f>IF(N144="sníž. přenesená",J144,0)</f>
        <v>0</v>
      </c>
      <c r="BI144" s="148">
        <f>IF(N144="nulová",J144,0)</f>
        <v>0</v>
      </c>
      <c r="BJ144" s="19" t="s">
        <v>83</v>
      </c>
      <c r="BK144" s="148">
        <f>ROUND(I144*H144,2)</f>
        <v>0</v>
      </c>
      <c r="BL144" s="19" t="s">
        <v>218</v>
      </c>
      <c r="BM144" s="147" t="s">
        <v>1306</v>
      </c>
    </row>
    <row r="145" spans="1:65" s="2" customFormat="1" ht="37.9" customHeight="1">
      <c r="A145" s="31"/>
      <c r="B145" s="136"/>
      <c r="C145" s="137" t="s">
        <v>225</v>
      </c>
      <c r="D145" s="137" t="s">
        <v>147</v>
      </c>
      <c r="E145" s="138" t="s">
        <v>1307</v>
      </c>
      <c r="F145" s="139" t="s">
        <v>1308</v>
      </c>
      <c r="G145" s="140" t="s">
        <v>201</v>
      </c>
      <c r="H145" s="141">
        <v>1458</v>
      </c>
      <c r="I145" s="142"/>
      <c r="J145" s="142">
        <f>ROUND(I145*H145,2)</f>
        <v>0</v>
      </c>
      <c r="K145" s="139" t="s">
        <v>157</v>
      </c>
      <c r="L145" s="32"/>
      <c r="M145" s="143" t="s">
        <v>3</v>
      </c>
      <c r="N145" s="144" t="s">
        <v>46</v>
      </c>
      <c r="O145" s="145">
        <v>0.082</v>
      </c>
      <c r="P145" s="145">
        <f>O145*H145</f>
        <v>119.55600000000001</v>
      </c>
      <c r="Q145" s="145">
        <v>0</v>
      </c>
      <c r="R145" s="145">
        <f>Q145*H145</f>
        <v>0</v>
      </c>
      <c r="S145" s="145">
        <v>0</v>
      </c>
      <c r="T145" s="146">
        <f>S145*H145</f>
        <v>0</v>
      </c>
      <c r="U145" s="31"/>
      <c r="V145" s="31"/>
      <c r="W145" s="31"/>
      <c r="X145" s="31"/>
      <c r="Y145" s="31"/>
      <c r="Z145" s="31"/>
      <c r="AA145" s="31"/>
      <c r="AB145" s="31"/>
      <c r="AC145" s="31"/>
      <c r="AD145" s="31"/>
      <c r="AE145" s="31"/>
      <c r="AR145" s="147" t="s">
        <v>218</v>
      </c>
      <c r="AT145" s="147" t="s">
        <v>147</v>
      </c>
      <c r="AU145" s="147" t="s">
        <v>85</v>
      </c>
      <c r="AY145" s="19" t="s">
        <v>144</v>
      </c>
      <c r="BE145" s="148">
        <f>IF(N145="základní",J145,0)</f>
        <v>0</v>
      </c>
      <c r="BF145" s="148">
        <f>IF(N145="snížená",J145,0)</f>
        <v>0</v>
      </c>
      <c r="BG145" s="148">
        <f>IF(N145="zákl. přenesená",J145,0)</f>
        <v>0</v>
      </c>
      <c r="BH145" s="148">
        <f>IF(N145="sníž. přenesená",J145,0)</f>
        <v>0</v>
      </c>
      <c r="BI145" s="148">
        <f>IF(N145="nulová",J145,0)</f>
        <v>0</v>
      </c>
      <c r="BJ145" s="19" t="s">
        <v>83</v>
      </c>
      <c r="BK145" s="148">
        <f>ROUND(I145*H145,2)</f>
        <v>0</v>
      </c>
      <c r="BL145" s="19" t="s">
        <v>218</v>
      </c>
      <c r="BM145" s="147" t="s">
        <v>1309</v>
      </c>
    </row>
    <row r="146" spans="2:51" s="13" customFormat="1" ht="12">
      <c r="B146" s="149"/>
      <c r="D146" s="150" t="s">
        <v>154</v>
      </c>
      <c r="E146" s="151" t="s">
        <v>3</v>
      </c>
      <c r="F146" s="152" t="s">
        <v>1264</v>
      </c>
      <c r="H146" s="151" t="s">
        <v>3</v>
      </c>
      <c r="L146" s="149"/>
      <c r="M146" s="153"/>
      <c r="N146" s="154"/>
      <c r="O146" s="154"/>
      <c r="P146" s="154"/>
      <c r="Q146" s="154"/>
      <c r="R146" s="154"/>
      <c r="S146" s="154"/>
      <c r="T146" s="155"/>
      <c r="AT146" s="151" t="s">
        <v>154</v>
      </c>
      <c r="AU146" s="151" t="s">
        <v>85</v>
      </c>
      <c r="AV146" s="13" t="s">
        <v>83</v>
      </c>
      <c r="AW146" s="13" t="s">
        <v>37</v>
      </c>
      <c r="AX146" s="13" t="s">
        <v>75</v>
      </c>
      <c r="AY146" s="151" t="s">
        <v>144</v>
      </c>
    </row>
    <row r="147" spans="2:51" s="14" customFormat="1" ht="12">
      <c r="B147" s="156"/>
      <c r="D147" s="150" t="s">
        <v>154</v>
      </c>
      <c r="E147" s="157" t="s">
        <v>3</v>
      </c>
      <c r="F147" s="158" t="s">
        <v>1310</v>
      </c>
      <c r="H147" s="159">
        <v>1458</v>
      </c>
      <c r="L147" s="156"/>
      <c r="M147" s="160"/>
      <c r="N147" s="161"/>
      <c r="O147" s="161"/>
      <c r="P147" s="161"/>
      <c r="Q147" s="161"/>
      <c r="R147" s="161"/>
      <c r="S147" s="161"/>
      <c r="T147" s="162"/>
      <c r="AT147" s="157" t="s">
        <v>154</v>
      </c>
      <c r="AU147" s="157" t="s">
        <v>85</v>
      </c>
      <c r="AV147" s="14" t="s">
        <v>85</v>
      </c>
      <c r="AW147" s="14" t="s">
        <v>37</v>
      </c>
      <c r="AX147" s="14" t="s">
        <v>83</v>
      </c>
      <c r="AY147" s="157" t="s">
        <v>144</v>
      </c>
    </row>
    <row r="148" spans="1:65" s="2" customFormat="1" ht="14.45" customHeight="1">
      <c r="A148" s="31"/>
      <c r="B148" s="136"/>
      <c r="C148" s="173" t="s">
        <v>8</v>
      </c>
      <c r="D148" s="173" t="s">
        <v>174</v>
      </c>
      <c r="E148" s="174" t="s">
        <v>1311</v>
      </c>
      <c r="F148" s="175" t="s">
        <v>1312</v>
      </c>
      <c r="G148" s="176" t="s">
        <v>201</v>
      </c>
      <c r="H148" s="177">
        <v>1749.6</v>
      </c>
      <c r="I148" s="178"/>
      <c r="J148" s="178">
        <f>ROUND(I148*H148,2)</f>
        <v>0</v>
      </c>
      <c r="K148" s="175" t="s">
        <v>157</v>
      </c>
      <c r="L148" s="179"/>
      <c r="M148" s="180" t="s">
        <v>3</v>
      </c>
      <c r="N148" s="181" t="s">
        <v>46</v>
      </c>
      <c r="O148" s="145">
        <v>0</v>
      </c>
      <c r="P148" s="145">
        <f>O148*H148</f>
        <v>0</v>
      </c>
      <c r="Q148" s="145">
        <v>0.00012</v>
      </c>
      <c r="R148" s="145">
        <f>Q148*H148</f>
        <v>0.209952</v>
      </c>
      <c r="S148" s="145">
        <v>0</v>
      </c>
      <c r="T148" s="146">
        <f>S148*H148</f>
        <v>0</v>
      </c>
      <c r="U148" s="31"/>
      <c r="V148" s="31"/>
      <c r="W148" s="31"/>
      <c r="X148" s="31"/>
      <c r="Y148" s="31"/>
      <c r="Z148" s="31"/>
      <c r="AA148" s="31"/>
      <c r="AB148" s="31"/>
      <c r="AC148" s="31"/>
      <c r="AD148" s="31"/>
      <c r="AE148" s="31"/>
      <c r="AR148" s="147" t="s">
        <v>248</v>
      </c>
      <c r="AT148" s="147" t="s">
        <v>174</v>
      </c>
      <c r="AU148" s="147" t="s">
        <v>85</v>
      </c>
      <c r="AY148" s="19" t="s">
        <v>144</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218</v>
      </c>
      <c r="BM148" s="147" t="s">
        <v>1313</v>
      </c>
    </row>
    <row r="149" spans="2:51" s="14" customFormat="1" ht="12">
      <c r="B149" s="156"/>
      <c r="D149" s="150" t="s">
        <v>154</v>
      </c>
      <c r="F149" s="158" t="s">
        <v>1314</v>
      </c>
      <c r="H149" s="159">
        <v>1749.6</v>
      </c>
      <c r="L149" s="156"/>
      <c r="M149" s="160"/>
      <c r="N149" s="161"/>
      <c r="O149" s="161"/>
      <c r="P149" s="161"/>
      <c r="Q149" s="161"/>
      <c r="R149" s="161"/>
      <c r="S149" s="161"/>
      <c r="T149" s="162"/>
      <c r="AT149" s="157" t="s">
        <v>154</v>
      </c>
      <c r="AU149" s="157" t="s">
        <v>85</v>
      </c>
      <c r="AV149" s="14" t="s">
        <v>85</v>
      </c>
      <c r="AW149" s="14" t="s">
        <v>4</v>
      </c>
      <c r="AX149" s="14" t="s">
        <v>83</v>
      </c>
      <c r="AY149" s="157" t="s">
        <v>144</v>
      </c>
    </row>
    <row r="150" spans="1:65" s="2" customFormat="1" ht="37.9" customHeight="1">
      <c r="A150" s="31"/>
      <c r="B150" s="136"/>
      <c r="C150" s="137" t="s">
        <v>226</v>
      </c>
      <c r="D150" s="137" t="s">
        <v>147</v>
      </c>
      <c r="E150" s="138" t="s">
        <v>1315</v>
      </c>
      <c r="F150" s="139" t="s">
        <v>1316</v>
      </c>
      <c r="G150" s="140" t="s">
        <v>201</v>
      </c>
      <c r="H150" s="141">
        <v>1057</v>
      </c>
      <c r="I150" s="142"/>
      <c r="J150" s="142">
        <f>ROUND(I150*H150,2)</f>
        <v>0</v>
      </c>
      <c r="K150" s="139" t="s">
        <v>157</v>
      </c>
      <c r="L150" s="32"/>
      <c r="M150" s="143" t="s">
        <v>3</v>
      </c>
      <c r="N150" s="144" t="s">
        <v>46</v>
      </c>
      <c r="O150" s="145">
        <v>0.086</v>
      </c>
      <c r="P150" s="145">
        <f>O150*H150</f>
        <v>90.90199999999999</v>
      </c>
      <c r="Q150" s="145">
        <v>0</v>
      </c>
      <c r="R150" s="145">
        <f>Q150*H150</f>
        <v>0</v>
      </c>
      <c r="S150" s="145">
        <v>0</v>
      </c>
      <c r="T150" s="146">
        <f>S150*H150</f>
        <v>0</v>
      </c>
      <c r="U150" s="31"/>
      <c r="V150" s="31"/>
      <c r="W150" s="31"/>
      <c r="X150" s="31"/>
      <c r="Y150" s="31"/>
      <c r="Z150" s="31"/>
      <c r="AA150" s="31"/>
      <c r="AB150" s="31"/>
      <c r="AC150" s="31"/>
      <c r="AD150" s="31"/>
      <c r="AE150" s="31"/>
      <c r="AR150" s="147" t="s">
        <v>218</v>
      </c>
      <c r="AT150" s="147" t="s">
        <v>147</v>
      </c>
      <c r="AU150" s="147" t="s">
        <v>85</v>
      </c>
      <c r="AY150" s="19" t="s">
        <v>144</v>
      </c>
      <c r="BE150" s="148">
        <f>IF(N150="základní",J150,0)</f>
        <v>0</v>
      </c>
      <c r="BF150" s="148">
        <f>IF(N150="snížená",J150,0)</f>
        <v>0</v>
      </c>
      <c r="BG150" s="148">
        <f>IF(N150="zákl. přenesená",J150,0)</f>
        <v>0</v>
      </c>
      <c r="BH150" s="148">
        <f>IF(N150="sníž. přenesená",J150,0)</f>
        <v>0</v>
      </c>
      <c r="BI150" s="148">
        <f>IF(N150="nulová",J150,0)</f>
        <v>0</v>
      </c>
      <c r="BJ150" s="19" t="s">
        <v>83</v>
      </c>
      <c r="BK150" s="148">
        <f>ROUND(I150*H150,2)</f>
        <v>0</v>
      </c>
      <c r="BL150" s="19" t="s">
        <v>218</v>
      </c>
      <c r="BM150" s="147" t="s">
        <v>1317</v>
      </c>
    </row>
    <row r="151" spans="2:51" s="13" customFormat="1" ht="12">
      <c r="B151" s="149"/>
      <c r="D151" s="150" t="s">
        <v>154</v>
      </c>
      <c r="E151" s="151" t="s">
        <v>3</v>
      </c>
      <c r="F151" s="152" t="s">
        <v>1264</v>
      </c>
      <c r="H151" s="151" t="s">
        <v>3</v>
      </c>
      <c r="L151" s="149"/>
      <c r="M151" s="153"/>
      <c r="N151" s="154"/>
      <c r="O151" s="154"/>
      <c r="P151" s="154"/>
      <c r="Q151" s="154"/>
      <c r="R151" s="154"/>
      <c r="S151" s="154"/>
      <c r="T151" s="155"/>
      <c r="AT151" s="151" t="s">
        <v>154</v>
      </c>
      <c r="AU151" s="151" t="s">
        <v>85</v>
      </c>
      <c r="AV151" s="13" t="s">
        <v>83</v>
      </c>
      <c r="AW151" s="13" t="s">
        <v>37</v>
      </c>
      <c r="AX151" s="13" t="s">
        <v>75</v>
      </c>
      <c r="AY151" s="151" t="s">
        <v>144</v>
      </c>
    </row>
    <row r="152" spans="2:51" s="14" customFormat="1" ht="12">
      <c r="B152" s="156"/>
      <c r="D152" s="150" t="s">
        <v>154</v>
      </c>
      <c r="E152" s="157" t="s">
        <v>3</v>
      </c>
      <c r="F152" s="158" t="s">
        <v>1318</v>
      </c>
      <c r="H152" s="159">
        <v>1057</v>
      </c>
      <c r="L152" s="156"/>
      <c r="M152" s="160"/>
      <c r="N152" s="161"/>
      <c r="O152" s="161"/>
      <c r="P152" s="161"/>
      <c r="Q152" s="161"/>
      <c r="R152" s="161"/>
      <c r="S152" s="161"/>
      <c r="T152" s="162"/>
      <c r="AT152" s="157" t="s">
        <v>154</v>
      </c>
      <c r="AU152" s="157" t="s">
        <v>85</v>
      </c>
      <c r="AV152" s="14" t="s">
        <v>85</v>
      </c>
      <c r="AW152" s="14" t="s">
        <v>37</v>
      </c>
      <c r="AX152" s="14" t="s">
        <v>83</v>
      </c>
      <c r="AY152" s="157" t="s">
        <v>144</v>
      </c>
    </row>
    <row r="153" spans="1:65" s="2" customFormat="1" ht="14.45" customHeight="1">
      <c r="A153" s="31"/>
      <c r="B153" s="136"/>
      <c r="C153" s="173" t="s">
        <v>227</v>
      </c>
      <c r="D153" s="173" t="s">
        <v>174</v>
      </c>
      <c r="E153" s="174" t="s">
        <v>1319</v>
      </c>
      <c r="F153" s="175" t="s">
        <v>1320</v>
      </c>
      <c r="G153" s="176" t="s">
        <v>201</v>
      </c>
      <c r="H153" s="177">
        <v>1268.4</v>
      </c>
      <c r="I153" s="178"/>
      <c r="J153" s="178">
        <f>ROUND(I153*H153,2)</f>
        <v>0</v>
      </c>
      <c r="K153" s="175" t="s">
        <v>157</v>
      </c>
      <c r="L153" s="179"/>
      <c r="M153" s="180" t="s">
        <v>3</v>
      </c>
      <c r="N153" s="181" t="s">
        <v>46</v>
      </c>
      <c r="O153" s="145">
        <v>0</v>
      </c>
      <c r="P153" s="145">
        <f>O153*H153</f>
        <v>0</v>
      </c>
      <c r="Q153" s="145">
        <v>0.00017</v>
      </c>
      <c r="R153" s="145">
        <f>Q153*H153</f>
        <v>0.21562800000000004</v>
      </c>
      <c r="S153" s="145">
        <v>0</v>
      </c>
      <c r="T153" s="146">
        <f>S153*H153</f>
        <v>0</v>
      </c>
      <c r="U153" s="31"/>
      <c r="V153" s="31"/>
      <c r="W153" s="31"/>
      <c r="X153" s="31"/>
      <c r="Y153" s="31"/>
      <c r="Z153" s="31"/>
      <c r="AA153" s="31"/>
      <c r="AB153" s="31"/>
      <c r="AC153" s="31"/>
      <c r="AD153" s="31"/>
      <c r="AE153" s="31"/>
      <c r="AR153" s="147" t="s">
        <v>248</v>
      </c>
      <c r="AT153" s="147" t="s">
        <v>174</v>
      </c>
      <c r="AU153" s="147" t="s">
        <v>85</v>
      </c>
      <c r="AY153" s="19" t="s">
        <v>144</v>
      </c>
      <c r="BE153" s="148">
        <f>IF(N153="základní",J153,0)</f>
        <v>0</v>
      </c>
      <c r="BF153" s="148">
        <f>IF(N153="snížená",J153,0)</f>
        <v>0</v>
      </c>
      <c r="BG153" s="148">
        <f>IF(N153="zákl. přenesená",J153,0)</f>
        <v>0</v>
      </c>
      <c r="BH153" s="148">
        <f>IF(N153="sníž. přenesená",J153,0)</f>
        <v>0</v>
      </c>
      <c r="BI153" s="148">
        <f>IF(N153="nulová",J153,0)</f>
        <v>0</v>
      </c>
      <c r="BJ153" s="19" t="s">
        <v>83</v>
      </c>
      <c r="BK153" s="148">
        <f>ROUND(I153*H153,2)</f>
        <v>0</v>
      </c>
      <c r="BL153" s="19" t="s">
        <v>218</v>
      </c>
      <c r="BM153" s="147" t="s">
        <v>1321</v>
      </c>
    </row>
    <row r="154" spans="2:51" s="14" customFormat="1" ht="12">
      <c r="B154" s="156"/>
      <c r="D154" s="150" t="s">
        <v>154</v>
      </c>
      <c r="F154" s="158" t="s">
        <v>1322</v>
      </c>
      <c r="H154" s="159">
        <v>1268.4</v>
      </c>
      <c r="L154" s="156"/>
      <c r="M154" s="160"/>
      <c r="N154" s="161"/>
      <c r="O154" s="161"/>
      <c r="P154" s="161"/>
      <c r="Q154" s="161"/>
      <c r="R154" s="161"/>
      <c r="S154" s="161"/>
      <c r="T154" s="162"/>
      <c r="AT154" s="157" t="s">
        <v>154</v>
      </c>
      <c r="AU154" s="157" t="s">
        <v>85</v>
      </c>
      <c r="AV154" s="14" t="s">
        <v>85</v>
      </c>
      <c r="AW154" s="14" t="s">
        <v>4</v>
      </c>
      <c r="AX154" s="14" t="s">
        <v>83</v>
      </c>
      <c r="AY154" s="157" t="s">
        <v>144</v>
      </c>
    </row>
    <row r="155" spans="1:65" s="2" customFormat="1" ht="49.15" customHeight="1">
      <c r="A155" s="31"/>
      <c r="B155" s="136"/>
      <c r="C155" s="137" t="s">
        <v>228</v>
      </c>
      <c r="D155" s="137" t="s">
        <v>147</v>
      </c>
      <c r="E155" s="138" t="s">
        <v>1323</v>
      </c>
      <c r="F155" s="139" t="s">
        <v>1324</v>
      </c>
      <c r="G155" s="140" t="s">
        <v>201</v>
      </c>
      <c r="H155" s="141">
        <v>36</v>
      </c>
      <c r="I155" s="142"/>
      <c r="J155" s="142">
        <f>ROUND(I155*H155,2)</f>
        <v>0</v>
      </c>
      <c r="K155" s="139" t="s">
        <v>157</v>
      </c>
      <c r="L155" s="32"/>
      <c r="M155" s="143" t="s">
        <v>3</v>
      </c>
      <c r="N155" s="144" t="s">
        <v>46</v>
      </c>
      <c r="O155" s="145">
        <v>0.098</v>
      </c>
      <c r="P155" s="145">
        <f>O155*H155</f>
        <v>3.528</v>
      </c>
      <c r="Q155" s="145">
        <v>0</v>
      </c>
      <c r="R155" s="145">
        <f>Q155*H155</f>
        <v>0</v>
      </c>
      <c r="S155" s="145">
        <v>0</v>
      </c>
      <c r="T155" s="146">
        <f>S155*H155</f>
        <v>0</v>
      </c>
      <c r="U155" s="31"/>
      <c r="V155" s="31"/>
      <c r="W155" s="31"/>
      <c r="X155" s="31"/>
      <c r="Y155" s="31"/>
      <c r="Z155" s="31"/>
      <c r="AA155" s="31"/>
      <c r="AB155" s="31"/>
      <c r="AC155" s="31"/>
      <c r="AD155" s="31"/>
      <c r="AE155" s="31"/>
      <c r="AR155" s="147" t="s">
        <v>218</v>
      </c>
      <c r="AT155" s="147" t="s">
        <v>147</v>
      </c>
      <c r="AU155" s="147" t="s">
        <v>85</v>
      </c>
      <c r="AY155" s="19" t="s">
        <v>144</v>
      </c>
      <c r="BE155" s="148">
        <f>IF(N155="základní",J155,0)</f>
        <v>0</v>
      </c>
      <c r="BF155" s="148">
        <f>IF(N155="snížená",J155,0)</f>
        <v>0</v>
      </c>
      <c r="BG155" s="148">
        <f>IF(N155="zákl. přenesená",J155,0)</f>
        <v>0</v>
      </c>
      <c r="BH155" s="148">
        <f>IF(N155="sníž. přenesená",J155,0)</f>
        <v>0</v>
      </c>
      <c r="BI155" s="148">
        <f>IF(N155="nulová",J155,0)</f>
        <v>0</v>
      </c>
      <c r="BJ155" s="19" t="s">
        <v>83</v>
      </c>
      <c r="BK155" s="148">
        <f>ROUND(I155*H155,2)</f>
        <v>0</v>
      </c>
      <c r="BL155" s="19" t="s">
        <v>218</v>
      </c>
      <c r="BM155" s="147" t="s">
        <v>1325</v>
      </c>
    </row>
    <row r="156" spans="2:51" s="13" customFormat="1" ht="12">
      <c r="B156" s="149"/>
      <c r="D156" s="150" t="s">
        <v>154</v>
      </c>
      <c r="E156" s="151" t="s">
        <v>3</v>
      </c>
      <c r="F156" s="152" t="s">
        <v>1264</v>
      </c>
      <c r="H156" s="151" t="s">
        <v>3</v>
      </c>
      <c r="L156" s="149"/>
      <c r="M156" s="153"/>
      <c r="N156" s="154"/>
      <c r="O156" s="154"/>
      <c r="P156" s="154"/>
      <c r="Q156" s="154"/>
      <c r="R156" s="154"/>
      <c r="S156" s="154"/>
      <c r="T156" s="155"/>
      <c r="AT156" s="151" t="s">
        <v>154</v>
      </c>
      <c r="AU156" s="151" t="s">
        <v>85</v>
      </c>
      <c r="AV156" s="13" t="s">
        <v>83</v>
      </c>
      <c r="AW156" s="13" t="s">
        <v>37</v>
      </c>
      <c r="AX156" s="13" t="s">
        <v>75</v>
      </c>
      <c r="AY156" s="151" t="s">
        <v>144</v>
      </c>
    </row>
    <row r="157" spans="2:51" s="14" customFormat="1" ht="12">
      <c r="B157" s="156"/>
      <c r="D157" s="150" t="s">
        <v>154</v>
      </c>
      <c r="E157" s="157" t="s">
        <v>3</v>
      </c>
      <c r="F157" s="158" t="s">
        <v>266</v>
      </c>
      <c r="H157" s="159">
        <v>36</v>
      </c>
      <c r="L157" s="156"/>
      <c r="M157" s="160"/>
      <c r="N157" s="161"/>
      <c r="O157" s="161"/>
      <c r="P157" s="161"/>
      <c r="Q157" s="161"/>
      <c r="R157" s="161"/>
      <c r="S157" s="161"/>
      <c r="T157" s="162"/>
      <c r="AT157" s="157" t="s">
        <v>154</v>
      </c>
      <c r="AU157" s="157" t="s">
        <v>85</v>
      </c>
      <c r="AV157" s="14" t="s">
        <v>85</v>
      </c>
      <c r="AW157" s="14" t="s">
        <v>37</v>
      </c>
      <c r="AX157" s="14" t="s">
        <v>83</v>
      </c>
      <c r="AY157" s="157" t="s">
        <v>144</v>
      </c>
    </row>
    <row r="158" spans="1:65" s="2" customFormat="1" ht="14.45" customHeight="1">
      <c r="A158" s="31"/>
      <c r="B158" s="136"/>
      <c r="C158" s="173" t="s">
        <v>229</v>
      </c>
      <c r="D158" s="173" t="s">
        <v>174</v>
      </c>
      <c r="E158" s="174" t="s">
        <v>1311</v>
      </c>
      <c r="F158" s="175" t="s">
        <v>1312</v>
      </c>
      <c r="G158" s="176" t="s">
        <v>201</v>
      </c>
      <c r="H158" s="177">
        <v>43.2</v>
      </c>
      <c r="I158" s="178"/>
      <c r="J158" s="178">
        <f>ROUND(I158*H158,2)</f>
        <v>0</v>
      </c>
      <c r="K158" s="175" t="s">
        <v>157</v>
      </c>
      <c r="L158" s="179"/>
      <c r="M158" s="180" t="s">
        <v>3</v>
      </c>
      <c r="N158" s="181" t="s">
        <v>46</v>
      </c>
      <c r="O158" s="145">
        <v>0</v>
      </c>
      <c r="P158" s="145">
        <f>O158*H158</f>
        <v>0</v>
      </c>
      <c r="Q158" s="145">
        <v>0.00012</v>
      </c>
      <c r="R158" s="145">
        <f>Q158*H158</f>
        <v>0.005184</v>
      </c>
      <c r="S158" s="145">
        <v>0</v>
      </c>
      <c r="T158" s="146">
        <f>S158*H158</f>
        <v>0</v>
      </c>
      <c r="U158" s="31"/>
      <c r="V158" s="31"/>
      <c r="W158" s="31"/>
      <c r="X158" s="31"/>
      <c r="Y158" s="31"/>
      <c r="Z158" s="31"/>
      <c r="AA158" s="31"/>
      <c r="AB158" s="31"/>
      <c r="AC158" s="31"/>
      <c r="AD158" s="31"/>
      <c r="AE158" s="31"/>
      <c r="AR158" s="147" t="s">
        <v>248</v>
      </c>
      <c r="AT158" s="147" t="s">
        <v>174</v>
      </c>
      <c r="AU158" s="147" t="s">
        <v>85</v>
      </c>
      <c r="AY158" s="19" t="s">
        <v>144</v>
      </c>
      <c r="BE158" s="148">
        <f>IF(N158="základní",J158,0)</f>
        <v>0</v>
      </c>
      <c r="BF158" s="148">
        <f>IF(N158="snížená",J158,0)</f>
        <v>0</v>
      </c>
      <c r="BG158" s="148">
        <f>IF(N158="zákl. přenesená",J158,0)</f>
        <v>0</v>
      </c>
      <c r="BH158" s="148">
        <f>IF(N158="sníž. přenesená",J158,0)</f>
        <v>0</v>
      </c>
      <c r="BI158" s="148">
        <f>IF(N158="nulová",J158,0)</f>
        <v>0</v>
      </c>
      <c r="BJ158" s="19" t="s">
        <v>83</v>
      </c>
      <c r="BK158" s="148">
        <f>ROUND(I158*H158,2)</f>
        <v>0</v>
      </c>
      <c r="BL158" s="19" t="s">
        <v>218</v>
      </c>
      <c r="BM158" s="147" t="s">
        <v>1326</v>
      </c>
    </row>
    <row r="159" spans="2:51" s="14" customFormat="1" ht="12">
      <c r="B159" s="156"/>
      <c r="D159" s="150" t="s">
        <v>154</v>
      </c>
      <c r="F159" s="158" t="s">
        <v>1327</v>
      </c>
      <c r="H159" s="159">
        <v>43.2</v>
      </c>
      <c r="L159" s="156"/>
      <c r="M159" s="160"/>
      <c r="N159" s="161"/>
      <c r="O159" s="161"/>
      <c r="P159" s="161"/>
      <c r="Q159" s="161"/>
      <c r="R159" s="161"/>
      <c r="S159" s="161"/>
      <c r="T159" s="162"/>
      <c r="AT159" s="157" t="s">
        <v>154</v>
      </c>
      <c r="AU159" s="157" t="s">
        <v>85</v>
      </c>
      <c r="AV159" s="14" t="s">
        <v>85</v>
      </c>
      <c r="AW159" s="14" t="s">
        <v>4</v>
      </c>
      <c r="AX159" s="14" t="s">
        <v>83</v>
      </c>
      <c r="AY159" s="157" t="s">
        <v>144</v>
      </c>
    </row>
    <row r="160" spans="1:65" s="2" customFormat="1" ht="24.2" customHeight="1">
      <c r="A160" s="31"/>
      <c r="B160" s="136"/>
      <c r="C160" s="137" t="s">
        <v>230</v>
      </c>
      <c r="D160" s="137" t="s">
        <v>147</v>
      </c>
      <c r="E160" s="138" t="s">
        <v>1328</v>
      </c>
      <c r="F160" s="139" t="s">
        <v>1329</v>
      </c>
      <c r="G160" s="140" t="s">
        <v>156</v>
      </c>
      <c r="H160" s="141">
        <v>42</v>
      </c>
      <c r="I160" s="142"/>
      <c r="J160" s="142">
        <f>ROUND(I160*H160,2)</f>
        <v>0</v>
      </c>
      <c r="K160" s="139" t="s">
        <v>157</v>
      </c>
      <c r="L160" s="32"/>
      <c r="M160" s="143" t="s">
        <v>3</v>
      </c>
      <c r="N160" s="144" t="s">
        <v>46</v>
      </c>
      <c r="O160" s="145">
        <v>0.051</v>
      </c>
      <c r="P160" s="145">
        <f>O160*H160</f>
        <v>2.142</v>
      </c>
      <c r="Q160" s="145">
        <v>0</v>
      </c>
      <c r="R160" s="145">
        <f>Q160*H160</f>
        <v>0</v>
      </c>
      <c r="S160" s="145">
        <v>0</v>
      </c>
      <c r="T160" s="146">
        <f>S160*H160</f>
        <v>0</v>
      </c>
      <c r="U160" s="31"/>
      <c r="V160" s="31"/>
      <c r="W160" s="31"/>
      <c r="X160" s="31"/>
      <c r="Y160" s="31"/>
      <c r="Z160" s="31"/>
      <c r="AA160" s="31"/>
      <c r="AB160" s="31"/>
      <c r="AC160" s="31"/>
      <c r="AD160" s="31"/>
      <c r="AE160" s="31"/>
      <c r="AR160" s="147" t="s">
        <v>218</v>
      </c>
      <c r="AT160" s="147" t="s">
        <v>147</v>
      </c>
      <c r="AU160" s="147" t="s">
        <v>85</v>
      </c>
      <c r="AY160" s="19" t="s">
        <v>144</v>
      </c>
      <c r="BE160" s="148">
        <f>IF(N160="základní",J160,0)</f>
        <v>0</v>
      </c>
      <c r="BF160" s="148">
        <f>IF(N160="snížená",J160,0)</f>
        <v>0</v>
      </c>
      <c r="BG160" s="148">
        <f>IF(N160="zákl. přenesená",J160,0)</f>
        <v>0</v>
      </c>
      <c r="BH160" s="148">
        <f>IF(N160="sníž. přenesená",J160,0)</f>
        <v>0</v>
      </c>
      <c r="BI160" s="148">
        <f>IF(N160="nulová",J160,0)</f>
        <v>0</v>
      </c>
      <c r="BJ160" s="19" t="s">
        <v>83</v>
      </c>
      <c r="BK160" s="148">
        <f>ROUND(I160*H160,2)</f>
        <v>0</v>
      </c>
      <c r="BL160" s="19" t="s">
        <v>218</v>
      </c>
      <c r="BM160" s="147" t="s">
        <v>1330</v>
      </c>
    </row>
    <row r="161" spans="2:51" s="13" customFormat="1" ht="12">
      <c r="B161" s="149"/>
      <c r="D161" s="150" t="s">
        <v>154</v>
      </c>
      <c r="E161" s="151" t="s">
        <v>3</v>
      </c>
      <c r="F161" s="152" t="s">
        <v>1264</v>
      </c>
      <c r="H161" s="151" t="s">
        <v>3</v>
      </c>
      <c r="L161" s="149"/>
      <c r="M161" s="153"/>
      <c r="N161" s="154"/>
      <c r="O161" s="154"/>
      <c r="P161" s="154"/>
      <c r="Q161" s="154"/>
      <c r="R161" s="154"/>
      <c r="S161" s="154"/>
      <c r="T161" s="155"/>
      <c r="AT161" s="151" t="s">
        <v>154</v>
      </c>
      <c r="AU161" s="151" t="s">
        <v>85</v>
      </c>
      <c r="AV161" s="13" t="s">
        <v>83</v>
      </c>
      <c r="AW161" s="13" t="s">
        <v>37</v>
      </c>
      <c r="AX161" s="13" t="s">
        <v>75</v>
      </c>
      <c r="AY161" s="151" t="s">
        <v>144</v>
      </c>
    </row>
    <row r="162" spans="2:51" s="14" customFormat="1" ht="12">
      <c r="B162" s="156"/>
      <c r="D162" s="150" t="s">
        <v>154</v>
      </c>
      <c r="E162" s="157" t="s">
        <v>3</v>
      </c>
      <c r="F162" s="158" t="s">
        <v>298</v>
      </c>
      <c r="H162" s="159">
        <v>42</v>
      </c>
      <c r="L162" s="156"/>
      <c r="M162" s="160"/>
      <c r="N162" s="161"/>
      <c r="O162" s="161"/>
      <c r="P162" s="161"/>
      <c r="Q162" s="161"/>
      <c r="R162" s="161"/>
      <c r="S162" s="161"/>
      <c r="T162" s="162"/>
      <c r="AT162" s="157" t="s">
        <v>154</v>
      </c>
      <c r="AU162" s="157" t="s">
        <v>85</v>
      </c>
      <c r="AV162" s="14" t="s">
        <v>85</v>
      </c>
      <c r="AW162" s="14" t="s">
        <v>37</v>
      </c>
      <c r="AX162" s="14" t="s">
        <v>83</v>
      </c>
      <c r="AY162" s="157" t="s">
        <v>144</v>
      </c>
    </row>
    <row r="163" spans="1:65" s="2" customFormat="1" ht="37.9" customHeight="1">
      <c r="A163" s="31"/>
      <c r="B163" s="136"/>
      <c r="C163" s="137" t="s">
        <v>231</v>
      </c>
      <c r="D163" s="137" t="s">
        <v>147</v>
      </c>
      <c r="E163" s="138" t="s">
        <v>1331</v>
      </c>
      <c r="F163" s="139" t="s">
        <v>1332</v>
      </c>
      <c r="G163" s="140" t="s">
        <v>156</v>
      </c>
      <c r="H163" s="141">
        <v>468</v>
      </c>
      <c r="I163" s="142"/>
      <c r="J163" s="142">
        <f>ROUND(I163*H163,2)</f>
        <v>0</v>
      </c>
      <c r="K163" s="139" t="s">
        <v>157</v>
      </c>
      <c r="L163" s="32"/>
      <c r="M163" s="143" t="s">
        <v>3</v>
      </c>
      <c r="N163" s="144" t="s">
        <v>46</v>
      </c>
      <c r="O163" s="145">
        <v>0.055</v>
      </c>
      <c r="P163" s="145">
        <f>O163*H163</f>
        <v>25.74</v>
      </c>
      <c r="Q163" s="145">
        <v>0</v>
      </c>
      <c r="R163" s="145">
        <f>Q163*H163</f>
        <v>0</v>
      </c>
      <c r="S163" s="145">
        <v>0</v>
      </c>
      <c r="T163" s="146">
        <f>S163*H163</f>
        <v>0</v>
      </c>
      <c r="U163" s="31"/>
      <c r="V163" s="31"/>
      <c r="W163" s="31"/>
      <c r="X163" s="31"/>
      <c r="Y163" s="31"/>
      <c r="Z163" s="31"/>
      <c r="AA163" s="31"/>
      <c r="AB163" s="31"/>
      <c r="AC163" s="31"/>
      <c r="AD163" s="31"/>
      <c r="AE163" s="31"/>
      <c r="AR163" s="147" t="s">
        <v>218</v>
      </c>
      <c r="AT163" s="147" t="s">
        <v>147</v>
      </c>
      <c r="AU163" s="147" t="s">
        <v>85</v>
      </c>
      <c r="AY163" s="19" t="s">
        <v>144</v>
      </c>
      <c r="BE163" s="148">
        <f>IF(N163="základní",J163,0)</f>
        <v>0</v>
      </c>
      <c r="BF163" s="148">
        <f>IF(N163="snížená",J163,0)</f>
        <v>0</v>
      </c>
      <c r="BG163" s="148">
        <f>IF(N163="zákl. přenesená",J163,0)</f>
        <v>0</v>
      </c>
      <c r="BH163" s="148">
        <f>IF(N163="sníž. přenesená",J163,0)</f>
        <v>0</v>
      </c>
      <c r="BI163" s="148">
        <f>IF(N163="nulová",J163,0)</f>
        <v>0</v>
      </c>
      <c r="BJ163" s="19" t="s">
        <v>83</v>
      </c>
      <c r="BK163" s="148">
        <f>ROUND(I163*H163,2)</f>
        <v>0</v>
      </c>
      <c r="BL163" s="19" t="s">
        <v>218</v>
      </c>
      <c r="BM163" s="147" t="s">
        <v>1333</v>
      </c>
    </row>
    <row r="164" spans="2:51" s="13" customFormat="1" ht="12">
      <c r="B164" s="149"/>
      <c r="D164" s="150" t="s">
        <v>154</v>
      </c>
      <c r="E164" s="151" t="s">
        <v>3</v>
      </c>
      <c r="F164" s="152" t="s">
        <v>1264</v>
      </c>
      <c r="H164" s="151" t="s">
        <v>3</v>
      </c>
      <c r="L164" s="149"/>
      <c r="M164" s="153"/>
      <c r="N164" s="154"/>
      <c r="O164" s="154"/>
      <c r="P164" s="154"/>
      <c r="Q164" s="154"/>
      <c r="R164" s="154"/>
      <c r="S164" s="154"/>
      <c r="T164" s="155"/>
      <c r="AT164" s="151" t="s">
        <v>154</v>
      </c>
      <c r="AU164" s="151" t="s">
        <v>85</v>
      </c>
      <c r="AV164" s="13" t="s">
        <v>83</v>
      </c>
      <c r="AW164" s="13" t="s">
        <v>37</v>
      </c>
      <c r="AX164" s="13" t="s">
        <v>75</v>
      </c>
      <c r="AY164" s="151" t="s">
        <v>144</v>
      </c>
    </row>
    <row r="165" spans="2:51" s="14" customFormat="1" ht="12">
      <c r="B165" s="156"/>
      <c r="D165" s="150" t="s">
        <v>154</v>
      </c>
      <c r="E165" s="157" t="s">
        <v>3</v>
      </c>
      <c r="F165" s="158" t="s">
        <v>1334</v>
      </c>
      <c r="H165" s="159">
        <v>468</v>
      </c>
      <c r="L165" s="156"/>
      <c r="M165" s="160"/>
      <c r="N165" s="161"/>
      <c r="O165" s="161"/>
      <c r="P165" s="161"/>
      <c r="Q165" s="161"/>
      <c r="R165" s="161"/>
      <c r="S165" s="161"/>
      <c r="T165" s="162"/>
      <c r="AT165" s="157" t="s">
        <v>154</v>
      </c>
      <c r="AU165" s="157" t="s">
        <v>85</v>
      </c>
      <c r="AV165" s="14" t="s">
        <v>85</v>
      </c>
      <c r="AW165" s="14" t="s">
        <v>37</v>
      </c>
      <c r="AX165" s="14" t="s">
        <v>83</v>
      </c>
      <c r="AY165" s="157" t="s">
        <v>144</v>
      </c>
    </row>
    <row r="166" spans="1:65" s="2" customFormat="1" ht="37.9" customHeight="1">
      <c r="A166" s="31"/>
      <c r="B166" s="136"/>
      <c r="C166" s="137" t="s">
        <v>233</v>
      </c>
      <c r="D166" s="137" t="s">
        <v>147</v>
      </c>
      <c r="E166" s="138" t="s">
        <v>1335</v>
      </c>
      <c r="F166" s="139" t="s">
        <v>1336</v>
      </c>
      <c r="G166" s="140" t="s">
        <v>156</v>
      </c>
      <c r="H166" s="141">
        <f>H168</f>
        <v>36</v>
      </c>
      <c r="I166" s="142"/>
      <c r="J166" s="142">
        <f>ROUND(I166*H166,2)</f>
        <v>0</v>
      </c>
      <c r="K166" s="139" t="s">
        <v>157</v>
      </c>
      <c r="L166" s="32"/>
      <c r="M166" s="143" t="s">
        <v>3</v>
      </c>
      <c r="N166" s="144" t="s">
        <v>46</v>
      </c>
      <c r="O166" s="145">
        <v>0.306</v>
      </c>
      <c r="P166" s="145">
        <f>O166*H166</f>
        <v>11.016</v>
      </c>
      <c r="Q166" s="145">
        <v>0</v>
      </c>
      <c r="R166" s="145">
        <f>Q166*H166</f>
        <v>0</v>
      </c>
      <c r="S166" s="145">
        <v>0</v>
      </c>
      <c r="T166" s="146">
        <f>S166*H166</f>
        <v>0</v>
      </c>
      <c r="U166" s="31"/>
      <c r="V166" s="31"/>
      <c r="W166" s="31"/>
      <c r="X166" s="31"/>
      <c r="Y166" s="31"/>
      <c r="Z166" s="31"/>
      <c r="AA166" s="31"/>
      <c r="AB166" s="31"/>
      <c r="AC166" s="31"/>
      <c r="AD166" s="31"/>
      <c r="AE166" s="31"/>
      <c r="AR166" s="147" t="s">
        <v>218</v>
      </c>
      <c r="AT166" s="147" t="s">
        <v>147</v>
      </c>
      <c r="AU166" s="147" t="s">
        <v>85</v>
      </c>
      <c r="AY166" s="19" t="s">
        <v>144</v>
      </c>
      <c r="BE166" s="148">
        <f>IF(N166="základní",J166,0)</f>
        <v>0</v>
      </c>
      <c r="BF166" s="148">
        <f>IF(N166="snížená",J166,0)</f>
        <v>0</v>
      </c>
      <c r="BG166" s="148">
        <f>IF(N166="zákl. přenesená",J166,0)</f>
        <v>0</v>
      </c>
      <c r="BH166" s="148">
        <f>IF(N166="sníž. přenesená",J166,0)</f>
        <v>0</v>
      </c>
      <c r="BI166" s="148">
        <f>IF(N166="nulová",J166,0)</f>
        <v>0</v>
      </c>
      <c r="BJ166" s="19" t="s">
        <v>83</v>
      </c>
      <c r="BK166" s="148">
        <f>ROUND(I166*H166,2)</f>
        <v>0</v>
      </c>
      <c r="BL166" s="19" t="s">
        <v>218</v>
      </c>
      <c r="BM166" s="147" t="s">
        <v>1337</v>
      </c>
    </row>
    <row r="167" spans="2:51" s="13" customFormat="1" ht="12">
      <c r="B167" s="149"/>
      <c r="D167" s="150" t="s">
        <v>154</v>
      </c>
      <c r="E167" s="151" t="s">
        <v>3</v>
      </c>
      <c r="F167" s="152" t="s">
        <v>1264</v>
      </c>
      <c r="H167" s="151" t="s">
        <v>3</v>
      </c>
      <c r="L167" s="149"/>
      <c r="M167" s="153"/>
      <c r="N167" s="154"/>
      <c r="O167" s="154"/>
      <c r="P167" s="154"/>
      <c r="Q167" s="154"/>
      <c r="R167" s="154"/>
      <c r="S167" s="154"/>
      <c r="T167" s="155"/>
      <c r="AT167" s="151" t="s">
        <v>154</v>
      </c>
      <c r="AU167" s="151" t="s">
        <v>85</v>
      </c>
      <c r="AV167" s="13" t="s">
        <v>83</v>
      </c>
      <c r="AW167" s="13" t="s">
        <v>37</v>
      </c>
      <c r="AX167" s="13" t="s">
        <v>75</v>
      </c>
      <c r="AY167" s="151" t="s">
        <v>144</v>
      </c>
    </row>
    <row r="168" spans="2:51" s="14" customFormat="1" ht="12">
      <c r="B168" s="156"/>
      <c r="D168" s="150" t="s">
        <v>154</v>
      </c>
      <c r="E168" s="157" t="s">
        <v>3</v>
      </c>
      <c r="F168" s="158" t="s">
        <v>1816</v>
      </c>
      <c r="H168" s="159">
        <v>36</v>
      </c>
      <c r="L168" s="156"/>
      <c r="M168" s="160"/>
      <c r="N168" s="161"/>
      <c r="O168" s="161"/>
      <c r="P168" s="161"/>
      <c r="Q168" s="161"/>
      <c r="R168" s="161"/>
      <c r="S168" s="161"/>
      <c r="T168" s="162"/>
      <c r="AT168" s="157" t="s">
        <v>154</v>
      </c>
      <c r="AU168" s="157" t="s">
        <v>85</v>
      </c>
      <c r="AV168" s="14" t="s">
        <v>85</v>
      </c>
      <c r="AW168" s="14" t="s">
        <v>37</v>
      </c>
      <c r="AX168" s="14" t="s">
        <v>83</v>
      </c>
      <c r="AY168" s="157" t="s">
        <v>144</v>
      </c>
    </row>
    <row r="169" spans="1:65" s="2" customFormat="1" ht="14.45" customHeight="1">
      <c r="A169" s="31"/>
      <c r="B169" s="136"/>
      <c r="C169" s="173" t="s">
        <v>234</v>
      </c>
      <c r="D169" s="173" t="s">
        <v>174</v>
      </c>
      <c r="E169" s="174" t="s">
        <v>1338</v>
      </c>
      <c r="F169" s="175" t="s">
        <v>1339</v>
      </c>
      <c r="G169" s="176" t="s">
        <v>156</v>
      </c>
      <c r="H169" s="177">
        <f>H166</f>
        <v>36</v>
      </c>
      <c r="I169" s="178"/>
      <c r="J169" s="178">
        <f>ROUND(I169*H169,2)</f>
        <v>0</v>
      </c>
      <c r="K169" s="175" t="s">
        <v>157</v>
      </c>
      <c r="L169" s="179"/>
      <c r="M169" s="180" t="s">
        <v>3</v>
      </c>
      <c r="N169" s="181" t="s">
        <v>46</v>
      </c>
      <c r="O169" s="145">
        <v>0</v>
      </c>
      <c r="P169" s="145">
        <f>O169*H169</f>
        <v>0</v>
      </c>
      <c r="Q169" s="145">
        <v>5E-05</v>
      </c>
      <c r="R169" s="145">
        <f>Q169*H169</f>
        <v>0.0018000000000000002</v>
      </c>
      <c r="S169" s="145">
        <v>0</v>
      </c>
      <c r="T169" s="146">
        <f>S169*H169</f>
        <v>0</v>
      </c>
      <c r="U169" s="31"/>
      <c r="V169" s="31"/>
      <c r="W169" s="31"/>
      <c r="X169" s="31"/>
      <c r="Y169" s="31"/>
      <c r="Z169" s="31"/>
      <c r="AA169" s="31"/>
      <c r="AB169" s="31"/>
      <c r="AC169" s="31"/>
      <c r="AD169" s="31"/>
      <c r="AE169" s="31"/>
      <c r="AR169" s="147" t="s">
        <v>248</v>
      </c>
      <c r="AT169" s="147" t="s">
        <v>174</v>
      </c>
      <c r="AU169" s="147" t="s">
        <v>85</v>
      </c>
      <c r="AY169" s="19" t="s">
        <v>144</v>
      </c>
      <c r="BE169" s="148">
        <f>IF(N169="základní",J169,0)</f>
        <v>0</v>
      </c>
      <c r="BF169" s="148">
        <f>IF(N169="snížená",J169,0)</f>
        <v>0</v>
      </c>
      <c r="BG169" s="148">
        <f>IF(N169="zákl. přenesená",J169,0)</f>
        <v>0</v>
      </c>
      <c r="BH169" s="148">
        <f>IF(N169="sníž. přenesená",J169,0)</f>
        <v>0</v>
      </c>
      <c r="BI169" s="148">
        <f>IF(N169="nulová",J169,0)</f>
        <v>0</v>
      </c>
      <c r="BJ169" s="19" t="s">
        <v>83</v>
      </c>
      <c r="BK169" s="148">
        <f>ROUND(I169*H169,2)</f>
        <v>0</v>
      </c>
      <c r="BL169" s="19" t="s">
        <v>218</v>
      </c>
      <c r="BM169" s="147" t="s">
        <v>1340</v>
      </c>
    </row>
    <row r="170" spans="1:47" s="2" customFormat="1" ht="19.5">
      <c r="A170" s="31"/>
      <c r="B170" s="32"/>
      <c r="C170" s="31"/>
      <c r="D170" s="150" t="s">
        <v>270</v>
      </c>
      <c r="E170" s="31"/>
      <c r="F170" s="163" t="s">
        <v>1341</v>
      </c>
      <c r="G170" s="31"/>
      <c r="H170" s="31"/>
      <c r="I170" s="31"/>
      <c r="J170" s="31"/>
      <c r="K170" s="31"/>
      <c r="L170" s="32"/>
      <c r="M170" s="164"/>
      <c r="N170" s="165"/>
      <c r="O170" s="52"/>
      <c r="P170" s="52"/>
      <c r="Q170" s="52"/>
      <c r="R170" s="52"/>
      <c r="S170" s="52"/>
      <c r="T170" s="53"/>
      <c r="U170" s="31"/>
      <c r="V170" s="31"/>
      <c r="W170" s="31"/>
      <c r="X170" s="31"/>
      <c r="Y170" s="31"/>
      <c r="Z170" s="31"/>
      <c r="AA170" s="31"/>
      <c r="AB170" s="31"/>
      <c r="AC170" s="31"/>
      <c r="AD170" s="31"/>
      <c r="AE170" s="31"/>
      <c r="AT170" s="19" t="s">
        <v>270</v>
      </c>
      <c r="AU170" s="19" t="s">
        <v>85</v>
      </c>
    </row>
    <row r="171" spans="1:65" s="2" customFormat="1" ht="37.9" customHeight="1">
      <c r="A171" s="31"/>
      <c r="B171" s="136"/>
      <c r="C171" s="137" t="s">
        <v>235</v>
      </c>
      <c r="D171" s="137" t="s">
        <v>147</v>
      </c>
      <c r="E171" s="138" t="s">
        <v>1342</v>
      </c>
      <c r="F171" s="139" t="s">
        <v>1343</v>
      </c>
      <c r="G171" s="140" t="s">
        <v>156</v>
      </c>
      <c r="H171" s="141">
        <v>8</v>
      </c>
      <c r="I171" s="142"/>
      <c r="J171" s="142">
        <f>ROUND(I171*H171,2)</f>
        <v>0</v>
      </c>
      <c r="K171" s="139" t="s">
        <v>157</v>
      </c>
      <c r="L171" s="32"/>
      <c r="M171" s="143" t="s">
        <v>3</v>
      </c>
      <c r="N171" s="144" t="s">
        <v>46</v>
      </c>
      <c r="O171" s="145">
        <v>0.348</v>
      </c>
      <c r="P171" s="145">
        <f>O171*H171</f>
        <v>2.784</v>
      </c>
      <c r="Q171" s="145">
        <v>0</v>
      </c>
      <c r="R171" s="145">
        <f>Q171*H171</f>
        <v>0</v>
      </c>
      <c r="S171" s="145">
        <v>0</v>
      </c>
      <c r="T171" s="146">
        <f>S171*H171</f>
        <v>0</v>
      </c>
      <c r="U171" s="31"/>
      <c r="V171" s="31"/>
      <c r="W171" s="31"/>
      <c r="X171" s="31"/>
      <c r="Y171" s="31"/>
      <c r="Z171" s="31"/>
      <c r="AA171" s="31"/>
      <c r="AB171" s="31"/>
      <c r="AC171" s="31"/>
      <c r="AD171" s="31"/>
      <c r="AE171" s="31"/>
      <c r="AR171" s="147" t="s">
        <v>218</v>
      </c>
      <c r="AT171" s="147" t="s">
        <v>147</v>
      </c>
      <c r="AU171" s="147" t="s">
        <v>85</v>
      </c>
      <c r="AY171" s="19" t="s">
        <v>144</v>
      </c>
      <c r="BE171" s="148">
        <f>IF(N171="základní",J171,0)</f>
        <v>0</v>
      </c>
      <c r="BF171" s="148">
        <f>IF(N171="snížená",J171,0)</f>
        <v>0</v>
      </c>
      <c r="BG171" s="148">
        <f>IF(N171="zákl. přenesená",J171,0)</f>
        <v>0</v>
      </c>
      <c r="BH171" s="148">
        <f>IF(N171="sníž. přenesená",J171,0)</f>
        <v>0</v>
      </c>
      <c r="BI171" s="148">
        <f>IF(N171="nulová",J171,0)</f>
        <v>0</v>
      </c>
      <c r="BJ171" s="19" t="s">
        <v>83</v>
      </c>
      <c r="BK171" s="148">
        <f>ROUND(I171*H171,2)</f>
        <v>0</v>
      </c>
      <c r="BL171" s="19" t="s">
        <v>218</v>
      </c>
      <c r="BM171" s="147" t="s">
        <v>1344</v>
      </c>
    </row>
    <row r="172" spans="2:51" s="13" customFormat="1" ht="12">
      <c r="B172" s="149"/>
      <c r="D172" s="150" t="s">
        <v>154</v>
      </c>
      <c r="E172" s="151" t="s">
        <v>3</v>
      </c>
      <c r="F172" s="152" t="s">
        <v>1264</v>
      </c>
      <c r="H172" s="151" t="s">
        <v>3</v>
      </c>
      <c r="L172" s="149"/>
      <c r="M172" s="153"/>
      <c r="N172" s="154"/>
      <c r="O172" s="154"/>
      <c r="P172" s="154"/>
      <c r="Q172" s="154"/>
      <c r="R172" s="154"/>
      <c r="S172" s="154"/>
      <c r="T172" s="155"/>
      <c r="AT172" s="151" t="s">
        <v>154</v>
      </c>
      <c r="AU172" s="151" t="s">
        <v>85</v>
      </c>
      <c r="AV172" s="13" t="s">
        <v>83</v>
      </c>
      <c r="AW172" s="13" t="s">
        <v>37</v>
      </c>
      <c r="AX172" s="13" t="s">
        <v>75</v>
      </c>
      <c r="AY172" s="151" t="s">
        <v>144</v>
      </c>
    </row>
    <row r="173" spans="2:51" s="14" customFormat="1" ht="12">
      <c r="B173" s="156"/>
      <c r="D173" s="150" t="s">
        <v>154</v>
      </c>
      <c r="E173" s="157" t="s">
        <v>3</v>
      </c>
      <c r="F173" s="158" t="s">
        <v>1817</v>
      </c>
      <c r="H173" s="159">
        <v>8</v>
      </c>
      <c r="L173" s="156"/>
      <c r="M173" s="160"/>
      <c r="N173" s="161"/>
      <c r="O173" s="161"/>
      <c r="P173" s="161"/>
      <c r="Q173" s="161"/>
      <c r="R173" s="161"/>
      <c r="S173" s="161"/>
      <c r="T173" s="162"/>
      <c r="AT173" s="157" t="s">
        <v>154</v>
      </c>
      <c r="AU173" s="157" t="s">
        <v>85</v>
      </c>
      <c r="AV173" s="14" t="s">
        <v>85</v>
      </c>
      <c r="AW173" s="14" t="s">
        <v>37</v>
      </c>
      <c r="AX173" s="14" t="s">
        <v>83</v>
      </c>
      <c r="AY173" s="157" t="s">
        <v>144</v>
      </c>
    </row>
    <row r="174" spans="1:65" s="2" customFormat="1" ht="14.45" customHeight="1">
      <c r="A174" s="31"/>
      <c r="B174" s="136"/>
      <c r="C174" s="173" t="s">
        <v>241</v>
      </c>
      <c r="D174" s="173" t="s">
        <v>174</v>
      </c>
      <c r="E174" s="174" t="s">
        <v>1345</v>
      </c>
      <c r="F174" s="175" t="s">
        <v>1346</v>
      </c>
      <c r="G174" s="176" t="s">
        <v>156</v>
      </c>
      <c r="H174" s="177">
        <v>8</v>
      </c>
      <c r="I174" s="178"/>
      <c r="J174" s="178">
        <f>ROUND(I174*H174,2)</f>
        <v>0</v>
      </c>
      <c r="K174" s="175" t="s">
        <v>151</v>
      </c>
      <c r="L174" s="179"/>
      <c r="M174" s="180" t="s">
        <v>3</v>
      </c>
      <c r="N174" s="181" t="s">
        <v>46</v>
      </c>
      <c r="O174" s="145">
        <v>0</v>
      </c>
      <c r="P174" s="145">
        <f>O174*H174</f>
        <v>0</v>
      </c>
      <c r="Q174" s="145">
        <v>0.00012</v>
      </c>
      <c r="R174" s="145">
        <f>Q174*H174</f>
        <v>0.00096</v>
      </c>
      <c r="S174" s="145">
        <v>0</v>
      </c>
      <c r="T174" s="146">
        <f>S174*H174</f>
        <v>0</v>
      </c>
      <c r="U174" s="31"/>
      <c r="V174" s="31"/>
      <c r="W174" s="31"/>
      <c r="X174" s="31"/>
      <c r="Y174" s="31"/>
      <c r="Z174" s="31"/>
      <c r="AA174" s="31"/>
      <c r="AB174" s="31"/>
      <c r="AC174" s="31"/>
      <c r="AD174" s="31"/>
      <c r="AE174" s="31"/>
      <c r="AR174" s="147" t="s">
        <v>248</v>
      </c>
      <c r="AT174" s="147" t="s">
        <v>174</v>
      </c>
      <c r="AU174" s="147" t="s">
        <v>85</v>
      </c>
      <c r="AY174" s="19" t="s">
        <v>144</v>
      </c>
      <c r="BE174" s="148">
        <f>IF(N174="základní",J174,0)</f>
        <v>0</v>
      </c>
      <c r="BF174" s="148">
        <f>IF(N174="snížená",J174,0)</f>
        <v>0</v>
      </c>
      <c r="BG174" s="148">
        <f>IF(N174="zákl. přenesená",J174,0)</f>
        <v>0</v>
      </c>
      <c r="BH174" s="148">
        <f>IF(N174="sníž. přenesená",J174,0)</f>
        <v>0</v>
      </c>
      <c r="BI174" s="148">
        <f>IF(N174="nulová",J174,0)</f>
        <v>0</v>
      </c>
      <c r="BJ174" s="19" t="s">
        <v>83</v>
      </c>
      <c r="BK174" s="148">
        <f>ROUND(I174*H174,2)</f>
        <v>0</v>
      </c>
      <c r="BL174" s="19" t="s">
        <v>218</v>
      </c>
      <c r="BM174" s="147" t="s">
        <v>1347</v>
      </c>
    </row>
    <row r="175" spans="1:47" s="2" customFormat="1" ht="19.5">
      <c r="A175" s="31"/>
      <c r="B175" s="32"/>
      <c r="C175" s="31"/>
      <c r="D175" s="150" t="s">
        <v>270</v>
      </c>
      <c r="E175" s="31"/>
      <c r="F175" s="163" t="s">
        <v>1341</v>
      </c>
      <c r="G175" s="31"/>
      <c r="H175" s="31"/>
      <c r="I175" s="31"/>
      <c r="J175" s="31"/>
      <c r="K175" s="31"/>
      <c r="L175" s="32"/>
      <c r="M175" s="164"/>
      <c r="N175" s="165"/>
      <c r="O175" s="52"/>
      <c r="P175" s="52"/>
      <c r="Q175" s="52"/>
      <c r="R175" s="52"/>
      <c r="S175" s="52"/>
      <c r="T175" s="53"/>
      <c r="U175" s="31"/>
      <c r="V175" s="31"/>
      <c r="W175" s="31"/>
      <c r="X175" s="31"/>
      <c r="Y175" s="31"/>
      <c r="Z175" s="31"/>
      <c r="AA175" s="31"/>
      <c r="AB175" s="31"/>
      <c r="AC175" s="31"/>
      <c r="AD175" s="31"/>
      <c r="AE175" s="31"/>
      <c r="AT175" s="19" t="s">
        <v>270</v>
      </c>
      <c r="AU175" s="19" t="s">
        <v>85</v>
      </c>
    </row>
    <row r="176" spans="1:65" s="2" customFormat="1" ht="37.9" customHeight="1">
      <c r="A176" s="31"/>
      <c r="B176" s="136"/>
      <c r="C176" s="137" t="s">
        <v>248</v>
      </c>
      <c r="D176" s="137" t="s">
        <v>147</v>
      </c>
      <c r="E176" s="138" t="s">
        <v>1348</v>
      </c>
      <c r="F176" s="139" t="s">
        <v>1349</v>
      </c>
      <c r="G176" s="140" t="s">
        <v>156</v>
      </c>
      <c r="H176" s="141">
        <f>H178</f>
        <v>97</v>
      </c>
      <c r="I176" s="142"/>
      <c r="J176" s="142">
        <f>ROUND(I176*H176,2)</f>
        <v>0</v>
      </c>
      <c r="K176" s="139" t="s">
        <v>157</v>
      </c>
      <c r="L176" s="32"/>
      <c r="M176" s="143" t="s">
        <v>3</v>
      </c>
      <c r="N176" s="144" t="s">
        <v>46</v>
      </c>
      <c r="O176" s="145">
        <v>0.287</v>
      </c>
      <c r="P176" s="145">
        <f>O176*H176</f>
        <v>27.839</v>
      </c>
      <c r="Q176" s="145">
        <v>0</v>
      </c>
      <c r="R176" s="145">
        <f>Q176*H176</f>
        <v>0</v>
      </c>
      <c r="S176" s="145">
        <v>0</v>
      </c>
      <c r="T176" s="146">
        <f>S176*H176</f>
        <v>0</v>
      </c>
      <c r="U176" s="31"/>
      <c r="V176" s="31"/>
      <c r="W176" s="31"/>
      <c r="X176" s="31"/>
      <c r="Y176" s="31"/>
      <c r="Z176" s="31"/>
      <c r="AA176" s="31"/>
      <c r="AB176" s="31"/>
      <c r="AC176" s="31"/>
      <c r="AD176" s="31"/>
      <c r="AE176" s="31"/>
      <c r="AR176" s="147" t="s">
        <v>218</v>
      </c>
      <c r="AT176" s="147" t="s">
        <v>147</v>
      </c>
      <c r="AU176" s="147" t="s">
        <v>85</v>
      </c>
      <c r="AY176" s="19" t="s">
        <v>144</v>
      </c>
      <c r="BE176" s="148">
        <f>IF(N176="základní",J176,0)</f>
        <v>0</v>
      </c>
      <c r="BF176" s="148">
        <f>IF(N176="snížená",J176,0)</f>
        <v>0</v>
      </c>
      <c r="BG176" s="148">
        <f>IF(N176="zákl. přenesená",J176,0)</f>
        <v>0</v>
      </c>
      <c r="BH176" s="148">
        <f>IF(N176="sníž. přenesená",J176,0)</f>
        <v>0</v>
      </c>
      <c r="BI176" s="148">
        <f>IF(N176="nulová",J176,0)</f>
        <v>0</v>
      </c>
      <c r="BJ176" s="19" t="s">
        <v>83</v>
      </c>
      <c r="BK176" s="148">
        <f>ROUND(I176*H176,2)</f>
        <v>0</v>
      </c>
      <c r="BL176" s="19" t="s">
        <v>218</v>
      </c>
      <c r="BM176" s="147" t="s">
        <v>1350</v>
      </c>
    </row>
    <row r="177" spans="2:51" s="13" customFormat="1" ht="12">
      <c r="B177" s="149"/>
      <c r="D177" s="150" t="s">
        <v>154</v>
      </c>
      <c r="E177" s="151" t="s">
        <v>3</v>
      </c>
      <c r="F177" s="152" t="s">
        <v>1264</v>
      </c>
      <c r="H177" s="151" t="s">
        <v>3</v>
      </c>
      <c r="L177" s="149"/>
      <c r="M177" s="153"/>
      <c r="N177" s="154"/>
      <c r="O177" s="154"/>
      <c r="P177" s="154"/>
      <c r="Q177" s="154"/>
      <c r="R177" s="154"/>
      <c r="S177" s="154"/>
      <c r="T177" s="155"/>
      <c r="AT177" s="151" t="s">
        <v>154</v>
      </c>
      <c r="AU177" s="151" t="s">
        <v>85</v>
      </c>
      <c r="AV177" s="13" t="s">
        <v>83</v>
      </c>
      <c r="AW177" s="13" t="s">
        <v>37</v>
      </c>
      <c r="AX177" s="13" t="s">
        <v>75</v>
      </c>
      <c r="AY177" s="151" t="s">
        <v>144</v>
      </c>
    </row>
    <row r="178" spans="2:51" s="14" customFormat="1" ht="12">
      <c r="B178" s="156"/>
      <c r="D178" s="150" t="s">
        <v>154</v>
      </c>
      <c r="E178" s="157" t="s">
        <v>3</v>
      </c>
      <c r="F178" s="158" t="s">
        <v>1818</v>
      </c>
      <c r="H178" s="159">
        <f>44+53</f>
        <v>97</v>
      </c>
      <c r="L178" s="156"/>
      <c r="M178" s="160"/>
      <c r="N178" s="161"/>
      <c r="O178" s="161"/>
      <c r="P178" s="161"/>
      <c r="Q178" s="161"/>
      <c r="R178" s="161"/>
      <c r="S178" s="161"/>
      <c r="T178" s="162"/>
      <c r="AT178" s="157" t="s">
        <v>154</v>
      </c>
      <c r="AU178" s="157" t="s">
        <v>85</v>
      </c>
      <c r="AV178" s="14" t="s">
        <v>85</v>
      </c>
      <c r="AW178" s="14" t="s">
        <v>37</v>
      </c>
      <c r="AX178" s="14" t="s">
        <v>83</v>
      </c>
      <c r="AY178" s="157" t="s">
        <v>144</v>
      </c>
    </row>
    <row r="179" spans="1:65" s="2" customFormat="1" ht="14.45" customHeight="1">
      <c r="A179" s="31"/>
      <c r="B179" s="136"/>
      <c r="C179" s="173" t="s">
        <v>252</v>
      </c>
      <c r="D179" s="173" t="s">
        <v>174</v>
      </c>
      <c r="E179" s="174" t="s">
        <v>1351</v>
      </c>
      <c r="F179" s="175" t="s">
        <v>1352</v>
      </c>
      <c r="G179" s="176" t="s">
        <v>156</v>
      </c>
      <c r="H179" s="177">
        <f>H176</f>
        <v>97</v>
      </c>
      <c r="I179" s="178"/>
      <c r="J179" s="178">
        <f>ROUND(I179*H179,2)</f>
        <v>0</v>
      </c>
      <c r="K179" s="175" t="s">
        <v>157</v>
      </c>
      <c r="L179" s="179"/>
      <c r="M179" s="180" t="s">
        <v>3</v>
      </c>
      <c r="N179" s="181" t="s">
        <v>46</v>
      </c>
      <c r="O179" s="145">
        <v>0</v>
      </c>
      <c r="P179" s="145">
        <f>O179*H179</f>
        <v>0</v>
      </c>
      <c r="Q179" s="145">
        <v>6E-05</v>
      </c>
      <c r="R179" s="145">
        <f>Q179*H179</f>
        <v>0.0058200000000000005</v>
      </c>
      <c r="S179" s="145">
        <v>0</v>
      </c>
      <c r="T179" s="146">
        <f>S179*H179</f>
        <v>0</v>
      </c>
      <c r="U179" s="31"/>
      <c r="V179" s="31"/>
      <c r="W179" s="31"/>
      <c r="X179" s="31"/>
      <c r="Y179" s="31"/>
      <c r="Z179" s="31"/>
      <c r="AA179" s="31"/>
      <c r="AB179" s="31"/>
      <c r="AC179" s="31"/>
      <c r="AD179" s="31"/>
      <c r="AE179" s="31"/>
      <c r="AR179" s="147" t="s">
        <v>248</v>
      </c>
      <c r="AT179" s="147" t="s">
        <v>174</v>
      </c>
      <c r="AU179" s="147" t="s">
        <v>85</v>
      </c>
      <c r="AY179" s="19" t="s">
        <v>144</v>
      </c>
      <c r="BE179" s="148">
        <f>IF(N179="základní",J179,0)</f>
        <v>0</v>
      </c>
      <c r="BF179" s="148">
        <f>IF(N179="snížená",J179,0)</f>
        <v>0</v>
      </c>
      <c r="BG179" s="148">
        <f>IF(N179="zákl. přenesená",J179,0)</f>
        <v>0</v>
      </c>
      <c r="BH179" s="148">
        <f>IF(N179="sníž. přenesená",J179,0)</f>
        <v>0</v>
      </c>
      <c r="BI179" s="148">
        <f>IF(N179="nulová",J179,0)</f>
        <v>0</v>
      </c>
      <c r="BJ179" s="19" t="s">
        <v>83</v>
      </c>
      <c r="BK179" s="148">
        <f>ROUND(I179*H179,2)</f>
        <v>0</v>
      </c>
      <c r="BL179" s="19" t="s">
        <v>218</v>
      </c>
      <c r="BM179" s="147" t="s">
        <v>1353</v>
      </c>
    </row>
    <row r="180" spans="1:47" s="2" customFormat="1" ht="19.5">
      <c r="A180" s="31"/>
      <c r="B180" s="32"/>
      <c r="C180" s="31"/>
      <c r="D180" s="150" t="s">
        <v>270</v>
      </c>
      <c r="E180" s="31"/>
      <c r="F180" s="163" t="s">
        <v>1341</v>
      </c>
      <c r="G180" s="31"/>
      <c r="H180" s="31"/>
      <c r="I180" s="31"/>
      <c r="J180" s="31"/>
      <c r="K180" s="31"/>
      <c r="L180" s="32"/>
      <c r="M180" s="164"/>
      <c r="N180" s="165"/>
      <c r="O180" s="52"/>
      <c r="P180" s="52"/>
      <c r="Q180" s="52"/>
      <c r="R180" s="52"/>
      <c r="S180" s="52"/>
      <c r="T180" s="53"/>
      <c r="U180" s="31"/>
      <c r="V180" s="31"/>
      <c r="W180" s="31"/>
      <c r="X180" s="31"/>
      <c r="Y180" s="31"/>
      <c r="Z180" s="31"/>
      <c r="AA180" s="31"/>
      <c r="AB180" s="31"/>
      <c r="AC180" s="31"/>
      <c r="AD180" s="31"/>
      <c r="AE180" s="31"/>
      <c r="AT180" s="19" t="s">
        <v>270</v>
      </c>
      <c r="AU180" s="19" t="s">
        <v>85</v>
      </c>
    </row>
    <row r="181" spans="1:65" s="2" customFormat="1" ht="37.9" customHeight="1">
      <c r="A181" s="31"/>
      <c r="B181" s="136"/>
      <c r="C181" s="137" t="s">
        <v>257</v>
      </c>
      <c r="D181" s="137" t="s">
        <v>147</v>
      </c>
      <c r="E181" s="138" t="s">
        <v>1354</v>
      </c>
      <c r="F181" s="139" t="s">
        <v>1355</v>
      </c>
      <c r="G181" s="140" t="s">
        <v>156</v>
      </c>
      <c r="H181" s="141">
        <f>H183</f>
        <v>48</v>
      </c>
      <c r="I181" s="142"/>
      <c r="J181" s="142">
        <f>ROUND(I181*H181,2)</f>
        <v>0</v>
      </c>
      <c r="K181" s="139" t="s">
        <v>157</v>
      </c>
      <c r="L181" s="32"/>
      <c r="M181" s="143" t="s">
        <v>3</v>
      </c>
      <c r="N181" s="144" t="s">
        <v>46</v>
      </c>
      <c r="O181" s="145">
        <v>0.612</v>
      </c>
      <c r="P181" s="145">
        <f>O181*H181</f>
        <v>29.375999999999998</v>
      </c>
      <c r="Q181" s="145">
        <v>0</v>
      </c>
      <c r="R181" s="145">
        <f>Q181*H181</f>
        <v>0</v>
      </c>
      <c r="S181" s="145">
        <v>0</v>
      </c>
      <c r="T181" s="146">
        <f>S181*H181</f>
        <v>0</v>
      </c>
      <c r="U181" s="31"/>
      <c r="V181" s="31"/>
      <c r="W181" s="31"/>
      <c r="X181" s="31"/>
      <c r="Y181" s="31"/>
      <c r="Z181" s="31"/>
      <c r="AA181" s="31"/>
      <c r="AB181" s="31"/>
      <c r="AC181" s="31"/>
      <c r="AD181" s="31"/>
      <c r="AE181" s="31"/>
      <c r="AR181" s="147" t="s">
        <v>218</v>
      </c>
      <c r="AT181" s="147" t="s">
        <v>147</v>
      </c>
      <c r="AU181" s="147" t="s">
        <v>85</v>
      </c>
      <c r="AY181" s="19" t="s">
        <v>144</v>
      </c>
      <c r="BE181" s="148">
        <f>IF(N181="základní",J181,0)</f>
        <v>0</v>
      </c>
      <c r="BF181" s="148">
        <f>IF(N181="snížená",J181,0)</f>
        <v>0</v>
      </c>
      <c r="BG181" s="148">
        <f>IF(N181="zákl. přenesená",J181,0)</f>
        <v>0</v>
      </c>
      <c r="BH181" s="148">
        <f>IF(N181="sníž. přenesená",J181,0)</f>
        <v>0</v>
      </c>
      <c r="BI181" s="148">
        <f>IF(N181="nulová",J181,0)</f>
        <v>0</v>
      </c>
      <c r="BJ181" s="19" t="s">
        <v>83</v>
      </c>
      <c r="BK181" s="148">
        <f>ROUND(I181*H181,2)</f>
        <v>0</v>
      </c>
      <c r="BL181" s="19" t="s">
        <v>218</v>
      </c>
      <c r="BM181" s="147" t="s">
        <v>1356</v>
      </c>
    </row>
    <row r="182" spans="2:51" s="13" customFormat="1" ht="12">
      <c r="B182" s="149"/>
      <c r="D182" s="150" t="s">
        <v>154</v>
      </c>
      <c r="E182" s="151" t="s">
        <v>3</v>
      </c>
      <c r="F182" s="152" t="s">
        <v>1264</v>
      </c>
      <c r="H182" s="151" t="s">
        <v>3</v>
      </c>
      <c r="L182" s="149"/>
      <c r="M182" s="153"/>
      <c r="N182" s="154"/>
      <c r="O182" s="154"/>
      <c r="P182" s="154"/>
      <c r="Q182" s="154"/>
      <c r="R182" s="154"/>
      <c r="S182" s="154"/>
      <c r="T182" s="155"/>
      <c r="AT182" s="151" t="s">
        <v>154</v>
      </c>
      <c r="AU182" s="151" t="s">
        <v>85</v>
      </c>
      <c r="AV182" s="13" t="s">
        <v>83</v>
      </c>
      <c r="AW182" s="13" t="s">
        <v>37</v>
      </c>
      <c r="AX182" s="13" t="s">
        <v>75</v>
      </c>
      <c r="AY182" s="151" t="s">
        <v>144</v>
      </c>
    </row>
    <row r="183" spans="2:51" s="14" customFormat="1" ht="12">
      <c r="B183" s="156"/>
      <c r="D183" s="150" t="s">
        <v>154</v>
      </c>
      <c r="E183" s="157" t="s">
        <v>3</v>
      </c>
      <c r="F183" s="158" t="s">
        <v>1819</v>
      </c>
      <c r="H183" s="159">
        <f>29+19</f>
        <v>48</v>
      </c>
      <c r="I183" s="280"/>
      <c r="L183" s="156"/>
      <c r="M183" s="160"/>
      <c r="N183" s="161"/>
      <c r="O183" s="161"/>
      <c r="P183" s="161"/>
      <c r="Q183" s="161"/>
      <c r="R183" s="161"/>
      <c r="S183" s="161"/>
      <c r="T183" s="162"/>
      <c r="AT183" s="157" t="s">
        <v>154</v>
      </c>
      <c r="AU183" s="157" t="s">
        <v>85</v>
      </c>
      <c r="AV183" s="14" t="s">
        <v>85</v>
      </c>
      <c r="AW183" s="14" t="s">
        <v>37</v>
      </c>
      <c r="AX183" s="14" t="s">
        <v>83</v>
      </c>
      <c r="AY183" s="157" t="s">
        <v>144</v>
      </c>
    </row>
    <row r="184" spans="1:65" s="2" customFormat="1" ht="14.45" customHeight="1">
      <c r="A184" s="31"/>
      <c r="B184" s="136"/>
      <c r="C184" s="173" t="s">
        <v>262</v>
      </c>
      <c r="D184" s="173" t="s">
        <v>174</v>
      </c>
      <c r="E184" s="174" t="s">
        <v>1357</v>
      </c>
      <c r="F184" s="175" t="s">
        <v>1358</v>
      </c>
      <c r="G184" s="176" t="s">
        <v>156</v>
      </c>
      <c r="H184" s="177">
        <f>H183</f>
        <v>48</v>
      </c>
      <c r="I184" s="281"/>
      <c r="J184" s="178">
        <f>ROUND(I184*H184,2)</f>
        <v>0</v>
      </c>
      <c r="K184" s="175" t="s">
        <v>151</v>
      </c>
      <c r="L184" s="179"/>
      <c r="M184" s="180" t="s">
        <v>3</v>
      </c>
      <c r="N184" s="181" t="s">
        <v>46</v>
      </c>
      <c r="O184" s="145">
        <v>0</v>
      </c>
      <c r="P184" s="145">
        <f>O184*H184</f>
        <v>0</v>
      </c>
      <c r="Q184" s="145">
        <v>0</v>
      </c>
      <c r="R184" s="145">
        <f>Q184*H184</f>
        <v>0</v>
      </c>
      <c r="S184" s="145">
        <v>0</v>
      </c>
      <c r="T184" s="146">
        <f>S184*H184</f>
        <v>0</v>
      </c>
      <c r="U184" s="31"/>
      <c r="V184" s="275"/>
      <c r="W184" s="275"/>
      <c r="X184" s="31"/>
      <c r="Y184" s="31"/>
      <c r="Z184" s="31"/>
      <c r="AA184" s="31"/>
      <c r="AB184" s="31"/>
      <c r="AC184" s="31"/>
      <c r="AD184" s="31"/>
      <c r="AE184" s="31"/>
      <c r="AR184" s="147" t="s">
        <v>248</v>
      </c>
      <c r="AT184" s="147" t="s">
        <v>174</v>
      </c>
      <c r="AU184" s="147" t="s">
        <v>85</v>
      </c>
      <c r="AY184" s="19" t="s">
        <v>144</v>
      </c>
      <c r="BE184" s="148">
        <f>IF(N184="základní",J184,0)</f>
        <v>0</v>
      </c>
      <c r="BF184" s="148">
        <f>IF(N184="snížená",J184,0)</f>
        <v>0</v>
      </c>
      <c r="BG184" s="148">
        <f>IF(N184="zákl. přenesená",J184,0)</f>
        <v>0</v>
      </c>
      <c r="BH184" s="148">
        <f>IF(N184="sníž. přenesená",J184,0)</f>
        <v>0</v>
      </c>
      <c r="BI184" s="148">
        <f>IF(N184="nulová",J184,0)</f>
        <v>0</v>
      </c>
      <c r="BJ184" s="19" t="s">
        <v>83</v>
      </c>
      <c r="BK184" s="148">
        <f>ROUND(I184*H184,2)</f>
        <v>0</v>
      </c>
      <c r="BL184" s="19" t="s">
        <v>218</v>
      </c>
      <c r="BM184" s="147" t="s">
        <v>1359</v>
      </c>
    </row>
    <row r="185" spans="1:65" s="2" customFormat="1" ht="37.9" customHeight="1">
      <c r="A185" s="31"/>
      <c r="B185" s="136"/>
      <c r="C185" s="137" t="s">
        <v>266</v>
      </c>
      <c r="D185" s="137" t="s">
        <v>147</v>
      </c>
      <c r="E185" s="138" t="s">
        <v>1360</v>
      </c>
      <c r="F185" s="139" t="s">
        <v>1361</v>
      </c>
      <c r="G185" s="140" t="s">
        <v>156</v>
      </c>
      <c r="H185" s="141">
        <f>H187</f>
        <v>11</v>
      </c>
      <c r="I185" s="278"/>
      <c r="J185" s="142">
        <f>ROUND(I185*H185,2)</f>
        <v>0</v>
      </c>
      <c r="K185" s="139" t="s">
        <v>157</v>
      </c>
      <c r="L185" s="32"/>
      <c r="M185" s="143" t="s">
        <v>3</v>
      </c>
      <c r="N185" s="144" t="s">
        <v>46</v>
      </c>
      <c r="O185" s="145">
        <v>0.792</v>
      </c>
      <c r="P185" s="145">
        <f>O185*H185</f>
        <v>8.712</v>
      </c>
      <c r="Q185" s="145">
        <v>0</v>
      </c>
      <c r="R185" s="145">
        <f>Q185*H185</f>
        <v>0</v>
      </c>
      <c r="S185" s="145">
        <v>0</v>
      </c>
      <c r="T185" s="146">
        <f>S185*H185</f>
        <v>0</v>
      </c>
      <c r="U185" s="31"/>
      <c r="V185" s="31"/>
      <c r="W185" s="31"/>
      <c r="X185" s="31"/>
      <c r="Y185" s="31"/>
      <c r="Z185" s="31"/>
      <c r="AA185" s="31"/>
      <c r="AB185" s="31"/>
      <c r="AC185" s="31"/>
      <c r="AD185" s="31"/>
      <c r="AE185" s="31"/>
      <c r="AR185" s="147" t="s">
        <v>218</v>
      </c>
      <c r="AT185" s="147" t="s">
        <v>147</v>
      </c>
      <c r="AU185" s="147" t="s">
        <v>85</v>
      </c>
      <c r="AY185" s="19" t="s">
        <v>144</v>
      </c>
      <c r="BE185" s="148">
        <f>IF(N185="základní",J185,0)</f>
        <v>0</v>
      </c>
      <c r="BF185" s="148">
        <f>IF(N185="snížená",J185,0)</f>
        <v>0</v>
      </c>
      <c r="BG185" s="148">
        <f>IF(N185="zákl. přenesená",J185,0)</f>
        <v>0</v>
      </c>
      <c r="BH185" s="148">
        <f>IF(N185="sníž. přenesená",J185,0)</f>
        <v>0</v>
      </c>
      <c r="BI185" s="148">
        <f>IF(N185="nulová",J185,0)</f>
        <v>0</v>
      </c>
      <c r="BJ185" s="19" t="s">
        <v>83</v>
      </c>
      <c r="BK185" s="148">
        <f>ROUND(I185*H185,2)</f>
        <v>0</v>
      </c>
      <c r="BL185" s="19" t="s">
        <v>218</v>
      </c>
      <c r="BM185" s="147" t="s">
        <v>1362</v>
      </c>
    </row>
    <row r="186" spans="2:51" s="13" customFormat="1" ht="12">
      <c r="B186" s="149"/>
      <c r="D186" s="150" t="s">
        <v>154</v>
      </c>
      <c r="E186" s="151" t="s">
        <v>3</v>
      </c>
      <c r="F186" s="152" t="s">
        <v>1264</v>
      </c>
      <c r="H186" s="151" t="s">
        <v>3</v>
      </c>
      <c r="I186" s="282"/>
      <c r="L186" s="149"/>
      <c r="M186" s="153"/>
      <c r="N186" s="154"/>
      <c r="O186" s="154"/>
      <c r="P186" s="154"/>
      <c r="Q186" s="154"/>
      <c r="R186" s="154"/>
      <c r="S186" s="154"/>
      <c r="T186" s="155"/>
      <c r="AT186" s="151" t="s">
        <v>154</v>
      </c>
      <c r="AU186" s="151" t="s">
        <v>85</v>
      </c>
      <c r="AV186" s="13" t="s">
        <v>83</v>
      </c>
      <c r="AW186" s="13" t="s">
        <v>37</v>
      </c>
      <c r="AX186" s="13" t="s">
        <v>75</v>
      </c>
      <c r="AY186" s="151" t="s">
        <v>144</v>
      </c>
    </row>
    <row r="187" spans="2:51" s="14" customFormat="1" ht="12">
      <c r="B187" s="156"/>
      <c r="D187" s="150" t="s">
        <v>154</v>
      </c>
      <c r="E187" s="157" t="s">
        <v>3</v>
      </c>
      <c r="F187" s="158" t="s">
        <v>1820</v>
      </c>
      <c r="H187" s="159">
        <v>11</v>
      </c>
      <c r="I187" s="280"/>
      <c r="L187" s="156"/>
      <c r="M187" s="160"/>
      <c r="N187" s="161"/>
      <c r="O187" s="161"/>
      <c r="P187" s="161"/>
      <c r="Q187" s="161"/>
      <c r="R187" s="161"/>
      <c r="S187" s="161"/>
      <c r="T187" s="162"/>
      <c r="AT187" s="157" t="s">
        <v>154</v>
      </c>
      <c r="AU187" s="157" t="s">
        <v>85</v>
      </c>
      <c r="AV187" s="14" t="s">
        <v>85</v>
      </c>
      <c r="AW187" s="14" t="s">
        <v>37</v>
      </c>
      <c r="AX187" s="14" t="s">
        <v>83</v>
      </c>
      <c r="AY187" s="157" t="s">
        <v>144</v>
      </c>
    </row>
    <row r="188" spans="1:65" s="2" customFormat="1" ht="14.45" customHeight="1">
      <c r="A188" s="31"/>
      <c r="B188" s="136"/>
      <c r="C188" s="173" t="s">
        <v>272</v>
      </c>
      <c r="D188" s="173" t="s">
        <v>174</v>
      </c>
      <c r="E188" s="174" t="s">
        <v>1363</v>
      </c>
      <c r="F188" s="175" t="s">
        <v>1364</v>
      </c>
      <c r="G188" s="176" t="s">
        <v>156</v>
      </c>
      <c r="H188" s="177">
        <f>H185</f>
        <v>11</v>
      </c>
      <c r="I188" s="281"/>
      <c r="J188" s="178">
        <f>ROUND(I188*H188,2)</f>
        <v>0</v>
      </c>
      <c r="K188" s="175" t="s">
        <v>151</v>
      </c>
      <c r="L188" s="179"/>
      <c r="M188" s="180" t="s">
        <v>3</v>
      </c>
      <c r="N188" s="181" t="s">
        <v>46</v>
      </c>
      <c r="O188" s="145">
        <v>0</v>
      </c>
      <c r="P188" s="145">
        <f>O188*H188</f>
        <v>0</v>
      </c>
      <c r="Q188" s="145">
        <v>0</v>
      </c>
      <c r="R188" s="145">
        <f>Q188*H188</f>
        <v>0</v>
      </c>
      <c r="S188" s="145">
        <v>0</v>
      </c>
      <c r="T188" s="146">
        <f>S188*H188</f>
        <v>0</v>
      </c>
      <c r="U188" s="31"/>
      <c r="V188" s="275"/>
      <c r="W188" s="275"/>
      <c r="X188" s="31"/>
      <c r="Y188" s="31"/>
      <c r="Z188" s="31"/>
      <c r="AA188" s="31"/>
      <c r="AB188" s="31"/>
      <c r="AC188" s="31"/>
      <c r="AD188" s="31"/>
      <c r="AE188" s="31"/>
      <c r="AR188" s="147" t="s">
        <v>248</v>
      </c>
      <c r="AT188" s="147" t="s">
        <v>174</v>
      </c>
      <c r="AU188" s="147" t="s">
        <v>85</v>
      </c>
      <c r="AY188" s="19" t="s">
        <v>144</v>
      </c>
      <c r="BE188" s="148">
        <f>IF(N188="základní",J188,0)</f>
        <v>0</v>
      </c>
      <c r="BF188" s="148">
        <f>IF(N188="snížená",J188,0)</f>
        <v>0</v>
      </c>
      <c r="BG188" s="148">
        <f>IF(N188="zákl. přenesená",J188,0)</f>
        <v>0</v>
      </c>
      <c r="BH188" s="148">
        <f>IF(N188="sníž. přenesená",J188,0)</f>
        <v>0</v>
      </c>
      <c r="BI188" s="148">
        <f>IF(N188="nulová",J188,0)</f>
        <v>0</v>
      </c>
      <c r="BJ188" s="19" t="s">
        <v>83</v>
      </c>
      <c r="BK188" s="148">
        <f>ROUND(I188*H188,2)</f>
        <v>0</v>
      </c>
      <c r="BL188" s="19" t="s">
        <v>218</v>
      </c>
      <c r="BM188" s="147" t="s">
        <v>1365</v>
      </c>
    </row>
    <row r="189" spans="1:65" s="2" customFormat="1" ht="37.9" customHeight="1">
      <c r="A189" s="31"/>
      <c r="B189" s="136"/>
      <c r="C189" s="137" t="s">
        <v>276</v>
      </c>
      <c r="D189" s="137" t="s">
        <v>147</v>
      </c>
      <c r="E189" s="138" t="s">
        <v>1366</v>
      </c>
      <c r="F189" s="139" t="s">
        <v>1367</v>
      </c>
      <c r="G189" s="140" t="s">
        <v>156</v>
      </c>
      <c r="H189" s="141">
        <f>H191</f>
        <v>7</v>
      </c>
      <c r="I189" s="278"/>
      <c r="J189" s="142">
        <f>ROUND(I189*H189,2)</f>
        <v>0</v>
      </c>
      <c r="K189" s="139" t="s">
        <v>157</v>
      </c>
      <c r="L189" s="32"/>
      <c r="M189" s="143" t="s">
        <v>3</v>
      </c>
      <c r="N189" s="144" t="s">
        <v>46</v>
      </c>
      <c r="O189" s="145">
        <v>0.512</v>
      </c>
      <c r="P189" s="145">
        <f>O189*H189</f>
        <v>3.584</v>
      </c>
      <c r="Q189" s="145">
        <v>0</v>
      </c>
      <c r="R189" s="145">
        <f>Q189*H189</f>
        <v>0</v>
      </c>
      <c r="S189" s="145">
        <v>0</v>
      </c>
      <c r="T189" s="146">
        <f>S189*H189</f>
        <v>0</v>
      </c>
      <c r="U189" s="31"/>
      <c r="V189" s="31"/>
      <c r="W189" s="31"/>
      <c r="X189" s="31"/>
      <c r="Y189" s="31"/>
      <c r="Z189" s="31"/>
      <c r="AA189" s="31"/>
      <c r="AB189" s="31"/>
      <c r="AC189" s="31"/>
      <c r="AD189" s="31"/>
      <c r="AE189" s="31"/>
      <c r="AR189" s="147" t="s">
        <v>218</v>
      </c>
      <c r="AT189" s="147" t="s">
        <v>147</v>
      </c>
      <c r="AU189" s="147" t="s">
        <v>85</v>
      </c>
      <c r="AY189" s="19" t="s">
        <v>144</v>
      </c>
      <c r="BE189" s="148">
        <f>IF(N189="základní",J189,0)</f>
        <v>0</v>
      </c>
      <c r="BF189" s="148">
        <f>IF(N189="snížená",J189,0)</f>
        <v>0</v>
      </c>
      <c r="BG189" s="148">
        <f>IF(N189="zákl. přenesená",J189,0)</f>
        <v>0</v>
      </c>
      <c r="BH189" s="148">
        <f>IF(N189="sníž. přenesená",J189,0)</f>
        <v>0</v>
      </c>
      <c r="BI189" s="148">
        <f>IF(N189="nulová",J189,0)</f>
        <v>0</v>
      </c>
      <c r="BJ189" s="19" t="s">
        <v>83</v>
      </c>
      <c r="BK189" s="148">
        <f>ROUND(I189*H189,2)</f>
        <v>0</v>
      </c>
      <c r="BL189" s="19" t="s">
        <v>218</v>
      </c>
      <c r="BM189" s="147" t="s">
        <v>1368</v>
      </c>
    </row>
    <row r="190" spans="2:51" s="13" customFormat="1" ht="12">
      <c r="B190" s="149"/>
      <c r="D190" s="150" t="s">
        <v>154</v>
      </c>
      <c r="E190" s="151" t="s">
        <v>3</v>
      </c>
      <c r="F190" s="152" t="s">
        <v>1264</v>
      </c>
      <c r="H190" s="151" t="s">
        <v>3</v>
      </c>
      <c r="I190" s="282"/>
      <c r="L190" s="149"/>
      <c r="M190" s="153"/>
      <c r="N190" s="154"/>
      <c r="O190" s="154"/>
      <c r="P190" s="154"/>
      <c r="Q190" s="154"/>
      <c r="R190" s="154"/>
      <c r="S190" s="154"/>
      <c r="T190" s="155"/>
      <c r="AT190" s="151" t="s">
        <v>154</v>
      </c>
      <c r="AU190" s="151" t="s">
        <v>85</v>
      </c>
      <c r="AV190" s="13" t="s">
        <v>83</v>
      </c>
      <c r="AW190" s="13" t="s">
        <v>37</v>
      </c>
      <c r="AX190" s="13" t="s">
        <v>75</v>
      </c>
      <c r="AY190" s="151" t="s">
        <v>144</v>
      </c>
    </row>
    <row r="191" spans="2:51" s="14" customFormat="1" ht="12">
      <c r="B191" s="156"/>
      <c r="D191" s="150" t="s">
        <v>154</v>
      </c>
      <c r="E191" s="157" t="s">
        <v>3</v>
      </c>
      <c r="F191" s="158" t="s">
        <v>1821</v>
      </c>
      <c r="H191" s="159">
        <v>7</v>
      </c>
      <c r="I191" s="280"/>
      <c r="L191" s="156"/>
      <c r="M191" s="160"/>
      <c r="N191" s="161"/>
      <c r="O191" s="161"/>
      <c r="P191" s="161"/>
      <c r="Q191" s="161"/>
      <c r="R191" s="161"/>
      <c r="S191" s="161"/>
      <c r="T191" s="162"/>
      <c r="AT191" s="157" t="s">
        <v>154</v>
      </c>
      <c r="AU191" s="157" t="s">
        <v>85</v>
      </c>
      <c r="AV191" s="14" t="s">
        <v>85</v>
      </c>
      <c r="AW191" s="14" t="s">
        <v>37</v>
      </c>
      <c r="AX191" s="14" t="s">
        <v>83</v>
      </c>
      <c r="AY191" s="157" t="s">
        <v>144</v>
      </c>
    </row>
    <row r="192" spans="1:65" s="2" customFormat="1" ht="14.45" customHeight="1">
      <c r="A192" s="31"/>
      <c r="B192" s="136"/>
      <c r="C192" s="173" t="s">
        <v>279</v>
      </c>
      <c r="D192" s="173" t="s">
        <v>174</v>
      </c>
      <c r="E192" s="174" t="s">
        <v>1369</v>
      </c>
      <c r="F192" s="175" t="s">
        <v>1778</v>
      </c>
      <c r="G192" s="176" t="s">
        <v>156</v>
      </c>
      <c r="H192" s="177">
        <f>H189</f>
        <v>7</v>
      </c>
      <c r="I192" s="281"/>
      <c r="J192" s="178">
        <f>ROUND(I192*H192,2)</f>
        <v>0</v>
      </c>
      <c r="K192" s="175" t="s">
        <v>151</v>
      </c>
      <c r="L192" s="179"/>
      <c r="M192" s="180" t="s">
        <v>3</v>
      </c>
      <c r="N192" s="181" t="s">
        <v>46</v>
      </c>
      <c r="O192" s="145">
        <v>0</v>
      </c>
      <c r="P192" s="145">
        <f>O192*H192</f>
        <v>0</v>
      </c>
      <c r="Q192" s="145">
        <v>0</v>
      </c>
      <c r="R192" s="145">
        <f>Q192*H192</f>
        <v>0</v>
      </c>
      <c r="S192" s="145">
        <v>0</v>
      </c>
      <c r="T192" s="146">
        <f>S192*H192</f>
        <v>0</v>
      </c>
      <c r="U192" s="31"/>
      <c r="V192" s="275"/>
      <c r="W192" s="275"/>
      <c r="X192" s="31"/>
      <c r="Y192" s="31"/>
      <c r="Z192" s="31"/>
      <c r="AA192" s="31"/>
      <c r="AB192" s="31"/>
      <c r="AC192" s="31"/>
      <c r="AD192" s="31"/>
      <c r="AE192" s="31"/>
      <c r="AR192" s="147" t="s">
        <v>248</v>
      </c>
      <c r="AT192" s="147" t="s">
        <v>174</v>
      </c>
      <c r="AU192" s="147" t="s">
        <v>85</v>
      </c>
      <c r="AY192" s="19" t="s">
        <v>144</v>
      </c>
      <c r="BE192" s="148">
        <f>IF(N192="základní",J192,0)</f>
        <v>0</v>
      </c>
      <c r="BF192" s="148">
        <f>IF(N192="snížená",J192,0)</f>
        <v>0</v>
      </c>
      <c r="BG192" s="148">
        <f>IF(N192="zákl. přenesená",J192,0)</f>
        <v>0</v>
      </c>
      <c r="BH192" s="148">
        <f>IF(N192="sníž. přenesená",J192,0)</f>
        <v>0</v>
      </c>
      <c r="BI192" s="148">
        <f>IF(N192="nulová",J192,0)</f>
        <v>0</v>
      </c>
      <c r="BJ192" s="19" t="s">
        <v>83</v>
      </c>
      <c r="BK192" s="148">
        <f>ROUND(I192*H192,2)</f>
        <v>0</v>
      </c>
      <c r="BL192" s="19" t="s">
        <v>218</v>
      </c>
      <c r="BM192" s="147" t="s">
        <v>1370</v>
      </c>
    </row>
    <row r="193" spans="1:65" s="2" customFormat="1" ht="37.9" customHeight="1">
      <c r="A193" s="31"/>
      <c r="B193" s="136"/>
      <c r="C193" s="137" t="s">
        <v>286</v>
      </c>
      <c r="D193" s="137" t="s">
        <v>147</v>
      </c>
      <c r="E193" s="138" t="s">
        <v>1371</v>
      </c>
      <c r="F193" s="139" t="s">
        <v>1372</v>
      </c>
      <c r="G193" s="140" t="s">
        <v>156</v>
      </c>
      <c r="H193" s="141">
        <f>H196</f>
        <v>2</v>
      </c>
      <c r="I193" s="278"/>
      <c r="J193" s="142">
        <f>ROUND(I193*H193,2)</f>
        <v>0</v>
      </c>
      <c r="K193" s="139" t="s">
        <v>157</v>
      </c>
      <c r="L193" s="32"/>
      <c r="M193" s="143" t="s">
        <v>3</v>
      </c>
      <c r="N193" s="144" t="s">
        <v>46</v>
      </c>
      <c r="O193" s="145">
        <v>0.66</v>
      </c>
      <c r="P193" s="145">
        <f>O193*H193</f>
        <v>1.32</v>
      </c>
      <c r="Q193" s="145">
        <v>0</v>
      </c>
      <c r="R193" s="145">
        <f>Q193*H193</f>
        <v>0</v>
      </c>
      <c r="S193" s="145">
        <v>0</v>
      </c>
      <c r="T193" s="146">
        <f>S193*H193</f>
        <v>0</v>
      </c>
      <c r="U193" s="31"/>
      <c r="V193" s="31"/>
      <c r="W193" s="31"/>
      <c r="X193" s="31"/>
      <c r="Y193" s="31"/>
      <c r="Z193" s="31"/>
      <c r="AA193" s="31"/>
      <c r="AB193" s="31"/>
      <c r="AC193" s="31"/>
      <c r="AD193" s="31"/>
      <c r="AE193" s="31"/>
      <c r="AR193" s="147" t="s">
        <v>218</v>
      </c>
      <c r="AT193" s="147" t="s">
        <v>147</v>
      </c>
      <c r="AU193" s="147" t="s">
        <v>85</v>
      </c>
      <c r="AY193" s="19" t="s">
        <v>144</v>
      </c>
      <c r="BE193" s="148">
        <f>IF(N193="základní",J193,0)</f>
        <v>0</v>
      </c>
      <c r="BF193" s="148">
        <f>IF(N193="snížená",J193,0)</f>
        <v>0</v>
      </c>
      <c r="BG193" s="148">
        <f>IF(N193="zákl. přenesená",J193,0)</f>
        <v>0</v>
      </c>
      <c r="BH193" s="148">
        <f>IF(N193="sníž. přenesená",J193,0)</f>
        <v>0</v>
      </c>
      <c r="BI193" s="148">
        <f>IF(N193="nulová",J193,0)</f>
        <v>0</v>
      </c>
      <c r="BJ193" s="19" t="s">
        <v>83</v>
      </c>
      <c r="BK193" s="148">
        <f>ROUND(I193*H193,2)</f>
        <v>0</v>
      </c>
      <c r="BL193" s="19" t="s">
        <v>218</v>
      </c>
      <c r="BM193" s="147" t="s">
        <v>1373</v>
      </c>
    </row>
    <row r="194" spans="2:51" s="13" customFormat="1" ht="12">
      <c r="B194" s="149"/>
      <c r="D194" s="150" t="s">
        <v>154</v>
      </c>
      <c r="E194" s="151" t="s">
        <v>3</v>
      </c>
      <c r="F194" s="152" t="s">
        <v>1264</v>
      </c>
      <c r="H194" s="151" t="s">
        <v>3</v>
      </c>
      <c r="I194" s="282"/>
      <c r="L194" s="149"/>
      <c r="M194" s="153"/>
      <c r="N194" s="154"/>
      <c r="O194" s="154"/>
      <c r="P194" s="154"/>
      <c r="Q194" s="154"/>
      <c r="R194" s="154"/>
      <c r="S194" s="154"/>
      <c r="T194" s="155"/>
      <c r="AT194" s="151" t="s">
        <v>154</v>
      </c>
      <c r="AU194" s="151" t="s">
        <v>85</v>
      </c>
      <c r="AV194" s="13" t="s">
        <v>83</v>
      </c>
      <c r="AW194" s="13" t="s">
        <v>37</v>
      </c>
      <c r="AX194" s="13" t="s">
        <v>75</v>
      </c>
      <c r="AY194" s="151" t="s">
        <v>144</v>
      </c>
    </row>
    <row r="195" spans="2:51" s="14" customFormat="1" ht="12">
      <c r="B195" s="156"/>
      <c r="D195" s="150" t="s">
        <v>154</v>
      </c>
      <c r="E195" s="157" t="s">
        <v>3</v>
      </c>
      <c r="F195" s="158">
        <v>2</v>
      </c>
      <c r="H195" s="159">
        <v>2</v>
      </c>
      <c r="I195" s="280"/>
      <c r="L195" s="156"/>
      <c r="M195" s="160"/>
      <c r="N195" s="161"/>
      <c r="O195" s="161"/>
      <c r="P195" s="161"/>
      <c r="Q195" s="161"/>
      <c r="R195" s="161"/>
      <c r="S195" s="161"/>
      <c r="T195" s="162"/>
      <c r="AT195" s="157" t="s">
        <v>154</v>
      </c>
      <c r="AU195" s="157" t="s">
        <v>85</v>
      </c>
      <c r="AV195" s="14" t="s">
        <v>85</v>
      </c>
      <c r="AW195" s="14" t="s">
        <v>37</v>
      </c>
      <c r="AX195" s="14" t="s">
        <v>83</v>
      </c>
      <c r="AY195" s="157" t="s">
        <v>144</v>
      </c>
    </row>
    <row r="196" spans="1:65" s="2" customFormat="1" ht="14.45" customHeight="1">
      <c r="A196" s="31"/>
      <c r="B196" s="136"/>
      <c r="C196" s="173" t="s">
        <v>291</v>
      </c>
      <c r="D196" s="173" t="s">
        <v>174</v>
      </c>
      <c r="E196" s="174" t="s">
        <v>1374</v>
      </c>
      <c r="F196" s="175" t="s">
        <v>1375</v>
      </c>
      <c r="G196" s="176" t="s">
        <v>156</v>
      </c>
      <c r="H196" s="177">
        <v>2</v>
      </c>
      <c r="I196" s="281"/>
      <c r="J196" s="178">
        <f>ROUND(I196*H196,2)</f>
        <v>0</v>
      </c>
      <c r="K196" s="175" t="s">
        <v>151</v>
      </c>
      <c r="L196" s="179"/>
      <c r="M196" s="180" t="s">
        <v>3</v>
      </c>
      <c r="N196" s="181" t="s">
        <v>46</v>
      </c>
      <c r="O196" s="145">
        <v>0</v>
      </c>
      <c r="P196" s="145">
        <f>O196*H196</f>
        <v>0</v>
      </c>
      <c r="Q196" s="145">
        <v>0</v>
      </c>
      <c r="R196" s="145">
        <f>Q196*H196</f>
        <v>0</v>
      </c>
      <c r="S196" s="145">
        <v>0</v>
      </c>
      <c r="T196" s="146">
        <f>S196*H196</f>
        <v>0</v>
      </c>
      <c r="U196" s="31"/>
      <c r="V196" s="275"/>
      <c r="W196" s="275"/>
      <c r="X196" s="31"/>
      <c r="Y196" s="31"/>
      <c r="Z196" s="31"/>
      <c r="AA196" s="31"/>
      <c r="AB196" s="31"/>
      <c r="AC196" s="31"/>
      <c r="AD196" s="31"/>
      <c r="AE196" s="31"/>
      <c r="AR196" s="147" t="s">
        <v>248</v>
      </c>
      <c r="AT196" s="147" t="s">
        <v>174</v>
      </c>
      <c r="AU196" s="147" t="s">
        <v>85</v>
      </c>
      <c r="AY196" s="19" t="s">
        <v>144</v>
      </c>
      <c r="BE196" s="148">
        <f>IF(N196="základní",J196,0)</f>
        <v>0</v>
      </c>
      <c r="BF196" s="148">
        <f>IF(N196="snížená",J196,0)</f>
        <v>0</v>
      </c>
      <c r="BG196" s="148">
        <f>IF(N196="zákl. přenesená",J196,0)</f>
        <v>0</v>
      </c>
      <c r="BH196" s="148">
        <f>IF(N196="sníž. přenesená",J196,0)</f>
        <v>0</v>
      </c>
      <c r="BI196" s="148">
        <f>IF(N196="nulová",J196,0)</f>
        <v>0</v>
      </c>
      <c r="BJ196" s="19" t="s">
        <v>83</v>
      </c>
      <c r="BK196" s="148">
        <f>ROUND(I196*H196,2)</f>
        <v>0</v>
      </c>
      <c r="BL196" s="19" t="s">
        <v>218</v>
      </c>
      <c r="BM196" s="147" t="s">
        <v>1376</v>
      </c>
    </row>
    <row r="197" spans="1:65" s="2" customFormat="1" ht="37.9" customHeight="1">
      <c r="A197" s="31"/>
      <c r="B197" s="136"/>
      <c r="C197" s="137" t="s">
        <v>298</v>
      </c>
      <c r="D197" s="137" t="s">
        <v>147</v>
      </c>
      <c r="E197" s="138" t="s">
        <v>1377</v>
      </c>
      <c r="F197" s="139" t="s">
        <v>1378</v>
      </c>
      <c r="G197" s="140" t="s">
        <v>156</v>
      </c>
      <c r="H197" s="141">
        <f>H199</f>
        <v>18</v>
      </c>
      <c r="I197" s="278"/>
      <c r="J197" s="142">
        <f>ROUND(I197*H197,2)</f>
        <v>0</v>
      </c>
      <c r="K197" s="139" t="s">
        <v>151</v>
      </c>
      <c r="L197" s="32"/>
      <c r="M197" s="143" t="s">
        <v>3</v>
      </c>
      <c r="N197" s="144" t="s">
        <v>46</v>
      </c>
      <c r="O197" s="145">
        <v>0.612</v>
      </c>
      <c r="P197" s="145">
        <f>O197*H197</f>
        <v>11.016</v>
      </c>
      <c r="Q197" s="145">
        <v>0</v>
      </c>
      <c r="R197" s="145">
        <f>Q197*H197</f>
        <v>0</v>
      </c>
      <c r="S197" s="145">
        <v>0</v>
      </c>
      <c r="T197" s="146">
        <f>S197*H197</f>
        <v>0</v>
      </c>
      <c r="U197" s="31"/>
      <c r="V197" s="31"/>
      <c r="W197" s="31"/>
      <c r="X197" s="31"/>
      <c r="Y197" s="31"/>
      <c r="Z197" s="31"/>
      <c r="AA197" s="31"/>
      <c r="AB197" s="31"/>
      <c r="AC197" s="31"/>
      <c r="AD197" s="31"/>
      <c r="AE197" s="31"/>
      <c r="AR197" s="147" t="s">
        <v>218</v>
      </c>
      <c r="AT197" s="147" t="s">
        <v>147</v>
      </c>
      <c r="AU197" s="147" t="s">
        <v>85</v>
      </c>
      <c r="AY197" s="19" t="s">
        <v>144</v>
      </c>
      <c r="BE197" s="148">
        <f>IF(N197="základní",J197,0)</f>
        <v>0</v>
      </c>
      <c r="BF197" s="148">
        <f>IF(N197="snížená",J197,0)</f>
        <v>0</v>
      </c>
      <c r="BG197" s="148">
        <f>IF(N197="zákl. přenesená",J197,0)</f>
        <v>0</v>
      </c>
      <c r="BH197" s="148">
        <f>IF(N197="sníž. přenesená",J197,0)</f>
        <v>0</v>
      </c>
      <c r="BI197" s="148">
        <f>IF(N197="nulová",J197,0)</f>
        <v>0</v>
      </c>
      <c r="BJ197" s="19" t="s">
        <v>83</v>
      </c>
      <c r="BK197" s="148">
        <f>ROUND(I197*H197,2)</f>
        <v>0</v>
      </c>
      <c r="BL197" s="19" t="s">
        <v>218</v>
      </c>
      <c r="BM197" s="147" t="s">
        <v>1379</v>
      </c>
    </row>
    <row r="198" spans="2:51" s="13" customFormat="1" ht="12">
      <c r="B198" s="149"/>
      <c r="D198" s="150" t="s">
        <v>154</v>
      </c>
      <c r="E198" s="151" t="s">
        <v>3</v>
      </c>
      <c r="F198" s="152" t="s">
        <v>1264</v>
      </c>
      <c r="H198" s="151" t="s">
        <v>3</v>
      </c>
      <c r="I198" s="282"/>
      <c r="L198" s="149"/>
      <c r="M198" s="153"/>
      <c r="N198" s="154"/>
      <c r="O198" s="154"/>
      <c r="P198" s="154"/>
      <c r="Q198" s="154"/>
      <c r="R198" s="154"/>
      <c r="S198" s="154"/>
      <c r="T198" s="155"/>
      <c r="AT198" s="151" t="s">
        <v>154</v>
      </c>
      <c r="AU198" s="151" t="s">
        <v>85</v>
      </c>
      <c r="AV198" s="13" t="s">
        <v>83</v>
      </c>
      <c r="AW198" s="13" t="s">
        <v>37</v>
      </c>
      <c r="AX198" s="13" t="s">
        <v>75</v>
      </c>
      <c r="AY198" s="151" t="s">
        <v>144</v>
      </c>
    </row>
    <row r="199" spans="2:51" s="14" customFormat="1" ht="12">
      <c r="B199" s="156"/>
      <c r="D199" s="150" t="s">
        <v>154</v>
      </c>
      <c r="E199" s="157" t="s">
        <v>3</v>
      </c>
      <c r="F199" s="158" t="s">
        <v>1822</v>
      </c>
      <c r="H199" s="159">
        <v>18</v>
      </c>
      <c r="I199" s="280"/>
      <c r="L199" s="156"/>
      <c r="M199" s="160"/>
      <c r="N199" s="161"/>
      <c r="O199" s="161"/>
      <c r="P199" s="161"/>
      <c r="Q199" s="161"/>
      <c r="R199" s="161"/>
      <c r="S199" s="161"/>
      <c r="T199" s="162"/>
      <c r="AT199" s="157" t="s">
        <v>154</v>
      </c>
      <c r="AU199" s="157" t="s">
        <v>85</v>
      </c>
      <c r="AV199" s="14" t="s">
        <v>85</v>
      </c>
      <c r="AW199" s="14" t="s">
        <v>37</v>
      </c>
      <c r="AX199" s="14" t="s">
        <v>83</v>
      </c>
      <c r="AY199" s="157" t="s">
        <v>144</v>
      </c>
    </row>
    <row r="200" spans="1:65" s="2" customFormat="1" ht="14.45" customHeight="1">
      <c r="A200" s="31"/>
      <c r="B200" s="136"/>
      <c r="C200" s="173" t="s">
        <v>306</v>
      </c>
      <c r="D200" s="173" t="s">
        <v>174</v>
      </c>
      <c r="E200" s="174" t="s">
        <v>1380</v>
      </c>
      <c r="F200" s="175" t="s">
        <v>1381</v>
      </c>
      <c r="G200" s="176" t="s">
        <v>156</v>
      </c>
      <c r="H200" s="177">
        <f>H197</f>
        <v>18</v>
      </c>
      <c r="I200" s="281"/>
      <c r="J200" s="178">
        <f>ROUND(I200*H200,2)</f>
        <v>0</v>
      </c>
      <c r="K200" s="175" t="s">
        <v>151</v>
      </c>
      <c r="L200" s="179"/>
      <c r="M200" s="180" t="s">
        <v>3</v>
      </c>
      <c r="N200" s="181" t="s">
        <v>46</v>
      </c>
      <c r="O200" s="145">
        <v>0</v>
      </c>
      <c r="P200" s="145">
        <f>O200*H200</f>
        <v>0</v>
      </c>
      <c r="Q200" s="145">
        <v>0</v>
      </c>
      <c r="R200" s="145">
        <f>Q200*H200</f>
        <v>0</v>
      </c>
      <c r="S200" s="145">
        <v>0</v>
      </c>
      <c r="T200" s="146">
        <f>S200*H200</f>
        <v>0</v>
      </c>
      <c r="U200" s="31"/>
      <c r="V200" s="275"/>
      <c r="W200" s="275"/>
      <c r="X200" s="31"/>
      <c r="Y200" s="31"/>
      <c r="Z200" s="31"/>
      <c r="AA200" s="31"/>
      <c r="AB200" s="31"/>
      <c r="AC200" s="31"/>
      <c r="AD200" s="31"/>
      <c r="AE200" s="31"/>
      <c r="AR200" s="147" t="s">
        <v>248</v>
      </c>
      <c r="AT200" s="147" t="s">
        <v>174</v>
      </c>
      <c r="AU200" s="147" t="s">
        <v>85</v>
      </c>
      <c r="AY200" s="19" t="s">
        <v>144</v>
      </c>
      <c r="BE200" s="148">
        <f>IF(N200="základní",J200,0)</f>
        <v>0</v>
      </c>
      <c r="BF200" s="148">
        <f>IF(N200="snížená",J200,0)</f>
        <v>0</v>
      </c>
      <c r="BG200" s="148">
        <f>IF(N200="zákl. přenesená",J200,0)</f>
        <v>0</v>
      </c>
      <c r="BH200" s="148">
        <f>IF(N200="sníž. přenesená",J200,0)</f>
        <v>0</v>
      </c>
      <c r="BI200" s="148">
        <f>IF(N200="nulová",J200,0)</f>
        <v>0</v>
      </c>
      <c r="BJ200" s="19" t="s">
        <v>83</v>
      </c>
      <c r="BK200" s="148">
        <f>ROUND(I200*H200,2)</f>
        <v>0</v>
      </c>
      <c r="BL200" s="19" t="s">
        <v>218</v>
      </c>
      <c r="BM200" s="147" t="s">
        <v>1382</v>
      </c>
    </row>
    <row r="201" spans="1:65" s="2" customFormat="1" ht="37.9" customHeight="1">
      <c r="A201" s="31"/>
      <c r="B201" s="136"/>
      <c r="C201" s="137" t="s">
        <v>310</v>
      </c>
      <c r="D201" s="137" t="s">
        <v>147</v>
      </c>
      <c r="E201" s="138" t="s">
        <v>1383</v>
      </c>
      <c r="F201" s="139" t="s">
        <v>1823</v>
      </c>
      <c r="G201" s="140" t="s">
        <v>960</v>
      </c>
      <c r="H201" s="141">
        <v>1</v>
      </c>
      <c r="I201" s="278"/>
      <c r="J201" s="142">
        <f>ROUND(I201*H201,2)</f>
        <v>0</v>
      </c>
      <c r="K201" s="139" t="s">
        <v>151</v>
      </c>
      <c r="L201" s="32"/>
      <c r="M201" s="143" t="s">
        <v>3</v>
      </c>
      <c r="N201" s="144" t="s">
        <v>46</v>
      </c>
      <c r="O201" s="145">
        <v>0</v>
      </c>
      <c r="P201" s="145">
        <f>O201*H201</f>
        <v>0</v>
      </c>
      <c r="Q201" s="145">
        <v>0</v>
      </c>
      <c r="R201" s="145">
        <f>Q201*H201</f>
        <v>0</v>
      </c>
      <c r="S201" s="145">
        <v>0</v>
      </c>
      <c r="T201" s="146">
        <f>S201*H201</f>
        <v>0</v>
      </c>
      <c r="U201" s="31"/>
      <c r="V201" s="31"/>
      <c r="W201" s="31"/>
      <c r="X201" s="31"/>
      <c r="Y201" s="31"/>
      <c r="Z201" s="31"/>
      <c r="AA201" s="31"/>
      <c r="AB201" s="31"/>
      <c r="AC201" s="31"/>
      <c r="AD201" s="31"/>
      <c r="AE201" s="31"/>
      <c r="AR201" s="147" t="s">
        <v>218</v>
      </c>
      <c r="AT201" s="147" t="s">
        <v>147</v>
      </c>
      <c r="AU201" s="147" t="s">
        <v>85</v>
      </c>
      <c r="AY201" s="19" t="s">
        <v>144</v>
      </c>
      <c r="BE201" s="148">
        <f>IF(N201="základní",J201,0)</f>
        <v>0</v>
      </c>
      <c r="BF201" s="148">
        <f>IF(N201="snížená",J201,0)</f>
        <v>0</v>
      </c>
      <c r="BG201" s="148">
        <f>IF(N201="zákl. přenesená",J201,0)</f>
        <v>0</v>
      </c>
      <c r="BH201" s="148">
        <f>IF(N201="sníž. přenesená",J201,0)</f>
        <v>0</v>
      </c>
      <c r="BI201" s="148">
        <f>IF(N201="nulová",J201,0)</f>
        <v>0</v>
      </c>
      <c r="BJ201" s="19" t="s">
        <v>83</v>
      </c>
      <c r="BK201" s="148">
        <f>ROUND(I201*H201,2)</f>
        <v>0</v>
      </c>
      <c r="BL201" s="19" t="s">
        <v>218</v>
      </c>
      <c r="BM201" s="147" t="s">
        <v>1384</v>
      </c>
    </row>
    <row r="202" spans="2:51" s="13" customFormat="1" ht="12">
      <c r="B202" s="149"/>
      <c r="D202" s="150" t="s">
        <v>154</v>
      </c>
      <c r="E202" s="151" t="s">
        <v>3</v>
      </c>
      <c r="F202" s="152" t="s">
        <v>1264</v>
      </c>
      <c r="H202" s="151" t="s">
        <v>3</v>
      </c>
      <c r="I202" s="282"/>
      <c r="L202" s="149"/>
      <c r="M202" s="153"/>
      <c r="N202" s="154"/>
      <c r="O202" s="154"/>
      <c r="P202" s="154"/>
      <c r="Q202" s="154"/>
      <c r="R202" s="154"/>
      <c r="S202" s="154"/>
      <c r="T202" s="155"/>
      <c r="AT202" s="151" t="s">
        <v>154</v>
      </c>
      <c r="AU202" s="151" t="s">
        <v>85</v>
      </c>
      <c r="AV202" s="13" t="s">
        <v>83</v>
      </c>
      <c r="AW202" s="13" t="s">
        <v>37</v>
      </c>
      <c r="AX202" s="13" t="s">
        <v>75</v>
      </c>
      <c r="AY202" s="151" t="s">
        <v>144</v>
      </c>
    </row>
    <row r="203" spans="2:51" s="14" customFormat="1" ht="12">
      <c r="B203" s="156"/>
      <c r="D203" s="150" t="s">
        <v>154</v>
      </c>
      <c r="E203" s="157" t="s">
        <v>3</v>
      </c>
      <c r="F203" s="158" t="s">
        <v>83</v>
      </c>
      <c r="H203" s="159">
        <v>1</v>
      </c>
      <c r="L203" s="156"/>
      <c r="M203" s="160"/>
      <c r="N203" s="161"/>
      <c r="O203" s="161"/>
      <c r="P203" s="161"/>
      <c r="Q203" s="161"/>
      <c r="R203" s="161"/>
      <c r="S203" s="161"/>
      <c r="T203" s="162"/>
      <c r="AT203" s="157" t="s">
        <v>154</v>
      </c>
      <c r="AU203" s="157" t="s">
        <v>85</v>
      </c>
      <c r="AV203" s="14" t="s">
        <v>85</v>
      </c>
      <c r="AW203" s="14" t="s">
        <v>37</v>
      </c>
      <c r="AX203" s="14" t="s">
        <v>83</v>
      </c>
      <c r="AY203" s="157" t="s">
        <v>144</v>
      </c>
    </row>
    <row r="204" spans="1:65" s="2" customFormat="1" ht="37.9" customHeight="1">
      <c r="A204" s="31"/>
      <c r="B204" s="136"/>
      <c r="C204" s="137">
        <v>45</v>
      </c>
      <c r="D204" s="137" t="s">
        <v>147</v>
      </c>
      <c r="E204" s="138" t="s">
        <v>1385</v>
      </c>
      <c r="F204" s="139" t="s">
        <v>1386</v>
      </c>
      <c r="G204" s="140" t="s">
        <v>960</v>
      </c>
      <c r="H204" s="141">
        <v>1</v>
      </c>
      <c r="I204" s="142"/>
      <c r="J204" s="142">
        <f>ROUND(I204*H204,2)</f>
        <v>0</v>
      </c>
      <c r="K204" s="139" t="s">
        <v>151</v>
      </c>
      <c r="L204" s="32"/>
      <c r="M204" s="143" t="s">
        <v>3</v>
      </c>
      <c r="N204" s="144" t="s">
        <v>46</v>
      </c>
      <c r="O204" s="145">
        <v>0</v>
      </c>
      <c r="P204" s="145">
        <f>O204*H204</f>
        <v>0</v>
      </c>
      <c r="Q204" s="145">
        <v>0</v>
      </c>
      <c r="R204" s="145">
        <f>Q204*H204</f>
        <v>0</v>
      </c>
      <c r="S204" s="145">
        <v>0</v>
      </c>
      <c r="T204" s="146">
        <f>S204*H204</f>
        <v>0</v>
      </c>
      <c r="U204" s="31"/>
      <c r="V204" s="31"/>
      <c r="W204" s="31"/>
      <c r="X204" s="31"/>
      <c r="Y204" s="31"/>
      <c r="Z204" s="31"/>
      <c r="AA204" s="31"/>
      <c r="AB204" s="31"/>
      <c r="AC204" s="31"/>
      <c r="AD204" s="31"/>
      <c r="AE204" s="31"/>
      <c r="AR204" s="147" t="s">
        <v>218</v>
      </c>
      <c r="AT204" s="147" t="s">
        <v>147</v>
      </c>
      <c r="AU204" s="147" t="s">
        <v>85</v>
      </c>
      <c r="AY204" s="19" t="s">
        <v>144</v>
      </c>
      <c r="BE204" s="148">
        <f>IF(N204="základní",J204,0)</f>
        <v>0</v>
      </c>
      <c r="BF204" s="148">
        <f>IF(N204="snížená",J204,0)</f>
        <v>0</v>
      </c>
      <c r="BG204" s="148">
        <f>IF(N204="zákl. přenesená",J204,0)</f>
        <v>0</v>
      </c>
      <c r="BH204" s="148">
        <f>IF(N204="sníž. přenesená",J204,0)</f>
        <v>0</v>
      </c>
      <c r="BI204" s="148">
        <f>IF(N204="nulová",J204,0)</f>
        <v>0</v>
      </c>
      <c r="BJ204" s="19" t="s">
        <v>83</v>
      </c>
      <c r="BK204" s="148">
        <f>ROUND(I204*H204,2)</f>
        <v>0</v>
      </c>
      <c r="BL204" s="19" t="s">
        <v>218</v>
      </c>
      <c r="BM204" s="147" t="s">
        <v>1387</v>
      </c>
    </row>
    <row r="205" spans="2:51" s="13" customFormat="1" ht="12">
      <c r="B205" s="149"/>
      <c r="D205" s="150" t="s">
        <v>154</v>
      </c>
      <c r="E205" s="151" t="s">
        <v>3</v>
      </c>
      <c r="F205" s="152" t="s">
        <v>1264</v>
      </c>
      <c r="H205" s="151" t="s">
        <v>3</v>
      </c>
      <c r="L205" s="149"/>
      <c r="M205" s="153"/>
      <c r="N205" s="154"/>
      <c r="O205" s="154"/>
      <c r="P205" s="154"/>
      <c r="Q205" s="154"/>
      <c r="R205" s="154"/>
      <c r="S205" s="154"/>
      <c r="T205" s="155"/>
      <c r="AT205" s="151" t="s">
        <v>154</v>
      </c>
      <c r="AU205" s="151" t="s">
        <v>85</v>
      </c>
      <c r="AV205" s="13" t="s">
        <v>83</v>
      </c>
      <c r="AW205" s="13" t="s">
        <v>37</v>
      </c>
      <c r="AX205" s="13" t="s">
        <v>75</v>
      </c>
      <c r="AY205" s="151" t="s">
        <v>144</v>
      </c>
    </row>
    <row r="206" spans="2:51" s="14" customFormat="1" ht="12">
      <c r="B206" s="156"/>
      <c r="D206" s="150" t="s">
        <v>154</v>
      </c>
      <c r="E206" s="157" t="s">
        <v>3</v>
      </c>
      <c r="F206" s="158" t="s">
        <v>83</v>
      </c>
      <c r="H206" s="159">
        <v>1</v>
      </c>
      <c r="L206" s="156"/>
      <c r="M206" s="160"/>
      <c r="N206" s="161"/>
      <c r="O206" s="161"/>
      <c r="P206" s="161"/>
      <c r="Q206" s="161"/>
      <c r="R206" s="161"/>
      <c r="S206" s="161"/>
      <c r="T206" s="162"/>
      <c r="AT206" s="157" t="s">
        <v>154</v>
      </c>
      <c r="AU206" s="157" t="s">
        <v>85</v>
      </c>
      <c r="AV206" s="14" t="s">
        <v>85</v>
      </c>
      <c r="AW206" s="14" t="s">
        <v>37</v>
      </c>
      <c r="AX206" s="14" t="s">
        <v>83</v>
      </c>
      <c r="AY206" s="157" t="s">
        <v>144</v>
      </c>
    </row>
    <row r="207" spans="1:65" s="2" customFormat="1" ht="37.9" customHeight="1">
      <c r="A207" s="31"/>
      <c r="B207" s="136"/>
      <c r="C207" s="137">
        <v>46</v>
      </c>
      <c r="D207" s="137" t="s">
        <v>147</v>
      </c>
      <c r="E207" s="138" t="s">
        <v>1388</v>
      </c>
      <c r="F207" s="139" t="s">
        <v>1389</v>
      </c>
      <c r="G207" s="140" t="s">
        <v>156</v>
      </c>
      <c r="H207" s="141">
        <v>1</v>
      </c>
      <c r="I207" s="142"/>
      <c r="J207" s="142">
        <f>ROUND(I207*H207,2)</f>
        <v>0</v>
      </c>
      <c r="K207" s="139" t="s">
        <v>157</v>
      </c>
      <c r="L207" s="32"/>
      <c r="M207" s="143" t="s">
        <v>3</v>
      </c>
      <c r="N207" s="144" t="s">
        <v>46</v>
      </c>
      <c r="O207" s="145">
        <v>12.398</v>
      </c>
      <c r="P207" s="145">
        <f>O207*H207</f>
        <v>12.398</v>
      </c>
      <c r="Q207" s="145">
        <v>0</v>
      </c>
      <c r="R207" s="145">
        <f>Q207*H207</f>
        <v>0</v>
      </c>
      <c r="S207" s="145">
        <v>0</v>
      </c>
      <c r="T207" s="146">
        <f>S207*H207</f>
        <v>0</v>
      </c>
      <c r="U207" s="31"/>
      <c r="V207" s="31"/>
      <c r="W207" s="31"/>
      <c r="X207" s="31"/>
      <c r="Y207" s="31"/>
      <c r="Z207" s="31"/>
      <c r="AA207" s="31"/>
      <c r="AB207" s="31"/>
      <c r="AC207" s="31"/>
      <c r="AD207" s="31"/>
      <c r="AE207" s="31"/>
      <c r="AR207" s="147" t="s">
        <v>218</v>
      </c>
      <c r="AT207" s="147" t="s">
        <v>147</v>
      </c>
      <c r="AU207" s="147" t="s">
        <v>85</v>
      </c>
      <c r="AY207" s="19" t="s">
        <v>144</v>
      </c>
      <c r="BE207" s="148">
        <f>IF(N207="základní",J207,0)</f>
        <v>0</v>
      </c>
      <c r="BF207" s="148">
        <f>IF(N207="snížená",J207,0)</f>
        <v>0</v>
      </c>
      <c r="BG207" s="148">
        <f>IF(N207="zákl. přenesená",J207,0)</f>
        <v>0</v>
      </c>
      <c r="BH207" s="148">
        <f>IF(N207="sníž. přenesená",J207,0)</f>
        <v>0</v>
      </c>
      <c r="BI207" s="148">
        <f>IF(N207="nulová",J207,0)</f>
        <v>0</v>
      </c>
      <c r="BJ207" s="19" t="s">
        <v>83</v>
      </c>
      <c r="BK207" s="148">
        <f>ROUND(I207*H207,2)</f>
        <v>0</v>
      </c>
      <c r="BL207" s="19" t="s">
        <v>218</v>
      </c>
      <c r="BM207" s="147" t="s">
        <v>1390</v>
      </c>
    </row>
    <row r="208" spans="1:47" s="2" customFormat="1" ht="39">
      <c r="A208" s="31"/>
      <c r="B208" s="32"/>
      <c r="C208" s="31"/>
      <c r="D208" s="150" t="s">
        <v>158</v>
      </c>
      <c r="E208" s="31"/>
      <c r="F208" s="163" t="s">
        <v>1391</v>
      </c>
      <c r="G208" s="31"/>
      <c r="H208" s="31"/>
      <c r="I208" s="31"/>
      <c r="J208" s="31"/>
      <c r="K208" s="31"/>
      <c r="L208" s="32"/>
      <c r="M208" s="164"/>
      <c r="N208" s="165"/>
      <c r="O208" s="52"/>
      <c r="P208" s="52"/>
      <c r="Q208" s="52"/>
      <c r="R208" s="52"/>
      <c r="S208" s="52"/>
      <c r="T208" s="53"/>
      <c r="U208" s="31"/>
      <c r="V208" s="31"/>
      <c r="W208" s="31"/>
      <c r="X208" s="31"/>
      <c r="Y208" s="31"/>
      <c r="Z208" s="31"/>
      <c r="AA208" s="31"/>
      <c r="AB208" s="31"/>
      <c r="AC208" s="31"/>
      <c r="AD208" s="31"/>
      <c r="AE208" s="31"/>
      <c r="AT208" s="19" t="s">
        <v>158</v>
      </c>
      <c r="AU208" s="19" t="s">
        <v>85</v>
      </c>
    </row>
    <row r="209" spans="1:65" s="2" customFormat="1" ht="37.9" customHeight="1">
      <c r="A209" s="31"/>
      <c r="B209" s="136"/>
      <c r="C209" s="137">
        <v>47</v>
      </c>
      <c r="D209" s="137" t="s">
        <v>147</v>
      </c>
      <c r="E209" s="138" t="s">
        <v>1392</v>
      </c>
      <c r="F209" s="139" t="s">
        <v>1393</v>
      </c>
      <c r="G209" s="140" t="s">
        <v>387</v>
      </c>
      <c r="H209" s="141">
        <f>SUM(J132:J207)/100</f>
        <v>0</v>
      </c>
      <c r="I209" s="142"/>
      <c r="J209" s="142">
        <f>ROUND(I209*H209,2)</f>
        <v>0</v>
      </c>
      <c r="K209" s="139" t="s">
        <v>157</v>
      </c>
      <c r="L209" s="32"/>
      <c r="M209" s="143" t="s">
        <v>3</v>
      </c>
      <c r="N209" s="144" t="s">
        <v>46</v>
      </c>
      <c r="O209" s="145">
        <v>0</v>
      </c>
      <c r="P209" s="145">
        <f>O209*H209</f>
        <v>0</v>
      </c>
      <c r="Q209" s="145">
        <v>0</v>
      </c>
      <c r="R209" s="145">
        <f>Q209*H209</f>
        <v>0</v>
      </c>
      <c r="S209" s="145">
        <v>0</v>
      </c>
      <c r="T209" s="146">
        <f>S209*H209</f>
        <v>0</v>
      </c>
      <c r="U209" s="31"/>
      <c r="V209" s="31"/>
      <c r="W209" s="31"/>
      <c r="X209" s="31"/>
      <c r="Y209" s="31"/>
      <c r="Z209" s="31"/>
      <c r="AA209" s="31"/>
      <c r="AB209" s="31"/>
      <c r="AC209" s="31"/>
      <c r="AD209" s="31"/>
      <c r="AE209" s="31"/>
      <c r="AR209" s="147" t="s">
        <v>218</v>
      </c>
      <c r="AT209" s="147" t="s">
        <v>147</v>
      </c>
      <c r="AU209" s="147" t="s">
        <v>85</v>
      </c>
      <c r="AY209" s="19" t="s">
        <v>144</v>
      </c>
      <c r="BE209" s="148">
        <f>IF(N209="základní",J209,0)</f>
        <v>0</v>
      </c>
      <c r="BF209" s="148">
        <f>IF(N209="snížená",J209,0)</f>
        <v>0</v>
      </c>
      <c r="BG209" s="148">
        <f>IF(N209="zákl. přenesená",J209,0)</f>
        <v>0</v>
      </c>
      <c r="BH209" s="148">
        <f>IF(N209="sníž. přenesená",J209,0)</f>
        <v>0</v>
      </c>
      <c r="BI209" s="148">
        <f>IF(N209="nulová",J209,0)</f>
        <v>0</v>
      </c>
      <c r="BJ209" s="19" t="s">
        <v>83</v>
      </c>
      <c r="BK209" s="148">
        <f>ROUND(I209*H209,2)</f>
        <v>0</v>
      </c>
      <c r="BL209" s="19" t="s">
        <v>218</v>
      </c>
      <c r="BM209" s="147" t="s">
        <v>1394</v>
      </c>
    </row>
    <row r="210" spans="1:47" s="2" customFormat="1" ht="126.75">
      <c r="A210" s="31"/>
      <c r="B210" s="32"/>
      <c r="C210" s="31"/>
      <c r="D210" s="150" t="s">
        <v>158</v>
      </c>
      <c r="E210" s="31"/>
      <c r="F210" s="163" t="s">
        <v>627</v>
      </c>
      <c r="G210" s="31"/>
      <c r="H210" s="31"/>
      <c r="I210" s="31"/>
      <c r="J210" s="31"/>
      <c r="K210" s="31"/>
      <c r="L210" s="32"/>
      <c r="M210" s="164"/>
      <c r="N210" s="165"/>
      <c r="O210" s="52"/>
      <c r="P210" s="52"/>
      <c r="Q210" s="52"/>
      <c r="R210" s="52"/>
      <c r="S210" s="52"/>
      <c r="T210" s="53"/>
      <c r="U210" s="31"/>
      <c r="V210" s="31"/>
      <c r="W210" s="31"/>
      <c r="X210" s="31"/>
      <c r="Y210" s="31"/>
      <c r="Z210" s="31"/>
      <c r="AA210" s="31"/>
      <c r="AB210" s="31"/>
      <c r="AC210" s="31"/>
      <c r="AD210" s="31"/>
      <c r="AE210" s="31"/>
      <c r="AT210" s="19" t="s">
        <v>158</v>
      </c>
      <c r="AU210" s="19" t="s">
        <v>85</v>
      </c>
    </row>
    <row r="211" spans="1:65" s="2" customFormat="1" ht="49.15" customHeight="1">
      <c r="A211" s="31"/>
      <c r="B211" s="136"/>
      <c r="C211" s="137">
        <v>48</v>
      </c>
      <c r="D211" s="137" t="s">
        <v>147</v>
      </c>
      <c r="E211" s="138" t="s">
        <v>1395</v>
      </c>
      <c r="F211" s="139" t="s">
        <v>1396</v>
      </c>
      <c r="G211" s="140" t="s">
        <v>387</v>
      </c>
      <c r="H211" s="141">
        <f>H209</f>
        <v>0</v>
      </c>
      <c r="I211" s="142"/>
      <c r="J211" s="142">
        <f>ROUND(I211*H211,2)</f>
        <v>0</v>
      </c>
      <c r="K211" s="139" t="s">
        <v>157</v>
      </c>
      <c r="L211" s="32"/>
      <c r="M211" s="143" t="s">
        <v>3</v>
      </c>
      <c r="N211" s="144" t="s">
        <v>46</v>
      </c>
      <c r="O211" s="145">
        <v>0</v>
      </c>
      <c r="P211" s="145">
        <f>O211*H211</f>
        <v>0</v>
      </c>
      <c r="Q211" s="145">
        <v>0</v>
      </c>
      <c r="R211" s="145">
        <f>Q211*H211</f>
        <v>0</v>
      </c>
      <c r="S211" s="145">
        <v>0</v>
      </c>
      <c r="T211" s="146">
        <f>S211*H211</f>
        <v>0</v>
      </c>
      <c r="U211" s="31"/>
      <c r="V211" s="31"/>
      <c r="W211" s="31"/>
      <c r="X211" s="31"/>
      <c r="Y211" s="31"/>
      <c r="Z211" s="31"/>
      <c r="AA211" s="31"/>
      <c r="AB211" s="31"/>
      <c r="AC211" s="31"/>
      <c r="AD211" s="31"/>
      <c r="AE211" s="31"/>
      <c r="AR211" s="147" t="s">
        <v>218</v>
      </c>
      <c r="AT211" s="147" t="s">
        <v>147</v>
      </c>
      <c r="AU211" s="147" t="s">
        <v>85</v>
      </c>
      <c r="AY211" s="19" t="s">
        <v>144</v>
      </c>
      <c r="BE211" s="148">
        <f>IF(N211="základní",J211,0)</f>
        <v>0</v>
      </c>
      <c r="BF211" s="148">
        <f>IF(N211="snížená",J211,0)</f>
        <v>0</v>
      </c>
      <c r="BG211" s="148">
        <f>IF(N211="zákl. přenesená",J211,0)</f>
        <v>0</v>
      </c>
      <c r="BH211" s="148">
        <f>IF(N211="sníž. přenesená",J211,0)</f>
        <v>0</v>
      </c>
      <c r="BI211" s="148">
        <f>IF(N211="nulová",J211,0)</f>
        <v>0</v>
      </c>
      <c r="BJ211" s="19" t="s">
        <v>83</v>
      </c>
      <c r="BK211" s="148">
        <f>ROUND(I211*H211,2)</f>
        <v>0</v>
      </c>
      <c r="BL211" s="19" t="s">
        <v>218</v>
      </c>
      <c r="BM211" s="147" t="s">
        <v>1397</v>
      </c>
    </row>
    <row r="212" spans="1:47" s="2" customFormat="1" ht="126.75">
      <c r="A212" s="31"/>
      <c r="B212" s="32"/>
      <c r="C212" s="31"/>
      <c r="D212" s="150" t="s">
        <v>158</v>
      </c>
      <c r="E212" s="31"/>
      <c r="F212" s="163" t="s">
        <v>627</v>
      </c>
      <c r="G212" s="31"/>
      <c r="H212" s="31"/>
      <c r="I212" s="31"/>
      <c r="J212" s="31"/>
      <c r="K212" s="31"/>
      <c r="L212" s="32"/>
      <c r="M212" s="164"/>
      <c r="N212" s="165"/>
      <c r="O212" s="52"/>
      <c r="P212" s="52"/>
      <c r="Q212" s="52"/>
      <c r="R212" s="52"/>
      <c r="S212" s="52"/>
      <c r="T212" s="53"/>
      <c r="U212" s="31"/>
      <c r="V212" s="31"/>
      <c r="W212" s="31"/>
      <c r="X212" s="31"/>
      <c r="Y212" s="31"/>
      <c r="Z212" s="31"/>
      <c r="AA212" s="31"/>
      <c r="AB212" s="31"/>
      <c r="AC212" s="31"/>
      <c r="AD212" s="31"/>
      <c r="AE212" s="31"/>
      <c r="AT212" s="19" t="s">
        <v>158</v>
      </c>
      <c r="AU212" s="19" t="s">
        <v>85</v>
      </c>
    </row>
    <row r="213" spans="2:63" s="12" customFormat="1" ht="22.9" customHeight="1">
      <c r="B213" s="124"/>
      <c r="D213" s="125" t="s">
        <v>74</v>
      </c>
      <c r="E213" s="134" t="s">
        <v>1398</v>
      </c>
      <c r="F213" s="134" t="s">
        <v>1399</v>
      </c>
      <c r="J213" s="135">
        <f>BK213</f>
        <v>0</v>
      </c>
      <c r="L213" s="124"/>
      <c r="M213" s="128"/>
      <c r="N213" s="129"/>
      <c r="O213" s="129"/>
      <c r="P213" s="130">
        <f>SUM(P214:P242)</f>
        <v>11.502</v>
      </c>
      <c r="Q213" s="129"/>
      <c r="R213" s="130">
        <f>SUM(R214:R242)</f>
        <v>0.012596</v>
      </c>
      <c r="S213" s="129"/>
      <c r="T213" s="131">
        <f>SUM(T214:T242)</f>
        <v>0</v>
      </c>
      <c r="AR213" s="125" t="s">
        <v>85</v>
      </c>
      <c r="AT213" s="132" t="s">
        <v>74</v>
      </c>
      <c r="AU213" s="132" t="s">
        <v>83</v>
      </c>
      <c r="AY213" s="125" t="s">
        <v>144</v>
      </c>
      <c r="BK213" s="133">
        <f>SUM(BK214:BK242)</f>
        <v>0</v>
      </c>
    </row>
    <row r="214" spans="1:65" s="2" customFormat="1" ht="24.2" customHeight="1">
      <c r="A214" s="31"/>
      <c r="B214" s="136"/>
      <c r="C214" s="137">
        <v>49</v>
      </c>
      <c r="D214" s="137" t="s">
        <v>147</v>
      </c>
      <c r="E214" s="138" t="s">
        <v>1400</v>
      </c>
      <c r="F214" s="139" t="s">
        <v>1401</v>
      </c>
      <c r="G214" s="140" t="s">
        <v>201</v>
      </c>
      <c r="H214" s="141">
        <v>114</v>
      </c>
      <c r="I214" s="142"/>
      <c r="J214" s="142">
        <f>ROUND(I214*H214,2)</f>
        <v>0</v>
      </c>
      <c r="K214" s="139" t="s">
        <v>157</v>
      </c>
      <c r="L214" s="32"/>
      <c r="M214" s="143" t="s">
        <v>3</v>
      </c>
      <c r="N214" s="144" t="s">
        <v>46</v>
      </c>
      <c r="O214" s="145">
        <v>0.04</v>
      </c>
      <c r="P214" s="145">
        <f>O214*H214</f>
        <v>4.5600000000000005</v>
      </c>
      <c r="Q214" s="145">
        <v>0</v>
      </c>
      <c r="R214" s="145">
        <f>Q214*H214</f>
        <v>0</v>
      </c>
      <c r="S214" s="145">
        <v>0</v>
      </c>
      <c r="T214" s="146">
        <f>S214*H214</f>
        <v>0</v>
      </c>
      <c r="U214" s="31"/>
      <c r="V214" s="31"/>
      <c r="W214" s="31"/>
      <c r="X214" s="31"/>
      <c r="Y214" s="31"/>
      <c r="Z214" s="31"/>
      <c r="AA214" s="31"/>
      <c r="AB214" s="31"/>
      <c r="AC214" s="31"/>
      <c r="AD214" s="31"/>
      <c r="AE214" s="31"/>
      <c r="AR214" s="147" t="s">
        <v>218</v>
      </c>
      <c r="AT214" s="147" t="s">
        <v>147</v>
      </c>
      <c r="AU214" s="147" t="s">
        <v>85</v>
      </c>
      <c r="AY214" s="19" t="s">
        <v>144</v>
      </c>
      <c r="BE214" s="148">
        <f>IF(N214="základní",J214,0)</f>
        <v>0</v>
      </c>
      <c r="BF214" s="148">
        <f>IF(N214="snížená",J214,0)</f>
        <v>0</v>
      </c>
      <c r="BG214" s="148">
        <f>IF(N214="zákl. přenesená",J214,0)</f>
        <v>0</v>
      </c>
      <c r="BH214" s="148">
        <f>IF(N214="sníž. přenesená",J214,0)</f>
        <v>0</v>
      </c>
      <c r="BI214" s="148">
        <f>IF(N214="nulová",J214,0)</f>
        <v>0</v>
      </c>
      <c r="BJ214" s="19" t="s">
        <v>83</v>
      </c>
      <c r="BK214" s="148">
        <f>ROUND(I214*H214,2)</f>
        <v>0</v>
      </c>
      <c r="BL214" s="19" t="s">
        <v>218</v>
      </c>
      <c r="BM214" s="147" t="s">
        <v>1402</v>
      </c>
    </row>
    <row r="215" spans="1:47" s="2" customFormat="1" ht="29.25">
      <c r="A215" s="31"/>
      <c r="B215" s="32"/>
      <c r="C215" s="31"/>
      <c r="D215" s="150" t="s">
        <v>158</v>
      </c>
      <c r="E215" s="31"/>
      <c r="F215" s="163" t="s">
        <v>1403</v>
      </c>
      <c r="G215" s="31"/>
      <c r="H215" s="31"/>
      <c r="I215" s="31"/>
      <c r="J215" s="31"/>
      <c r="K215" s="31"/>
      <c r="L215" s="32"/>
      <c r="M215" s="164"/>
      <c r="N215" s="165"/>
      <c r="O215" s="52"/>
      <c r="P215" s="52"/>
      <c r="Q215" s="52"/>
      <c r="R215" s="52"/>
      <c r="S215" s="52"/>
      <c r="T215" s="53"/>
      <c r="U215" s="31"/>
      <c r="V215" s="31"/>
      <c r="W215" s="31"/>
      <c r="X215" s="31"/>
      <c r="Y215" s="31"/>
      <c r="Z215" s="31"/>
      <c r="AA215" s="31"/>
      <c r="AB215" s="31"/>
      <c r="AC215" s="31"/>
      <c r="AD215" s="31"/>
      <c r="AE215" s="31"/>
      <c r="AT215" s="19" t="s">
        <v>158</v>
      </c>
      <c r="AU215" s="19" t="s">
        <v>85</v>
      </c>
    </row>
    <row r="216" spans="2:51" s="13" customFormat="1" ht="12">
      <c r="B216" s="149"/>
      <c r="D216" s="150" t="s">
        <v>154</v>
      </c>
      <c r="E216" s="151" t="s">
        <v>3</v>
      </c>
      <c r="F216" s="152" t="s">
        <v>1264</v>
      </c>
      <c r="H216" s="151" t="s">
        <v>3</v>
      </c>
      <c r="L216" s="149"/>
      <c r="M216" s="153"/>
      <c r="N216" s="154"/>
      <c r="O216" s="154"/>
      <c r="P216" s="154"/>
      <c r="Q216" s="154"/>
      <c r="R216" s="154"/>
      <c r="S216" s="154"/>
      <c r="T216" s="155"/>
      <c r="AT216" s="151" t="s">
        <v>154</v>
      </c>
      <c r="AU216" s="151" t="s">
        <v>85</v>
      </c>
      <c r="AV216" s="13" t="s">
        <v>83</v>
      </c>
      <c r="AW216" s="13" t="s">
        <v>37</v>
      </c>
      <c r="AX216" s="13" t="s">
        <v>75</v>
      </c>
      <c r="AY216" s="151" t="s">
        <v>144</v>
      </c>
    </row>
    <row r="217" spans="2:51" s="14" customFormat="1" ht="12">
      <c r="B217" s="156"/>
      <c r="D217" s="150" t="s">
        <v>154</v>
      </c>
      <c r="E217" s="157" t="s">
        <v>3</v>
      </c>
      <c r="F217" s="158" t="s">
        <v>623</v>
      </c>
      <c r="H217" s="159">
        <v>114</v>
      </c>
      <c r="L217" s="156"/>
      <c r="M217" s="160"/>
      <c r="N217" s="161"/>
      <c r="O217" s="161"/>
      <c r="P217" s="161"/>
      <c r="Q217" s="161"/>
      <c r="R217" s="161"/>
      <c r="S217" s="161"/>
      <c r="T217" s="162"/>
      <c r="AT217" s="157" t="s">
        <v>154</v>
      </c>
      <c r="AU217" s="157" t="s">
        <v>85</v>
      </c>
      <c r="AV217" s="14" t="s">
        <v>85</v>
      </c>
      <c r="AW217" s="14" t="s">
        <v>37</v>
      </c>
      <c r="AX217" s="14" t="s">
        <v>83</v>
      </c>
      <c r="AY217" s="157" t="s">
        <v>144</v>
      </c>
    </row>
    <row r="218" spans="1:65" s="2" customFormat="1" ht="14.45" customHeight="1">
      <c r="A218" s="31"/>
      <c r="B218" s="136"/>
      <c r="C218" s="173">
        <v>50</v>
      </c>
      <c r="D218" s="173" t="s">
        <v>174</v>
      </c>
      <c r="E218" s="174" t="s">
        <v>1404</v>
      </c>
      <c r="F218" s="175" t="s">
        <v>1405</v>
      </c>
      <c r="G218" s="176" t="s">
        <v>201</v>
      </c>
      <c r="H218" s="177">
        <v>136.8</v>
      </c>
      <c r="I218" s="178"/>
      <c r="J218" s="178">
        <f>ROUND(I218*H218,2)</f>
        <v>0</v>
      </c>
      <c r="K218" s="175" t="s">
        <v>157</v>
      </c>
      <c r="L218" s="179"/>
      <c r="M218" s="180" t="s">
        <v>3</v>
      </c>
      <c r="N218" s="181" t="s">
        <v>46</v>
      </c>
      <c r="O218" s="145">
        <v>0</v>
      </c>
      <c r="P218" s="145">
        <f>O218*H218</f>
        <v>0</v>
      </c>
      <c r="Q218" s="145">
        <v>2E-05</v>
      </c>
      <c r="R218" s="145">
        <f>Q218*H218</f>
        <v>0.0027360000000000006</v>
      </c>
      <c r="S218" s="145">
        <v>0</v>
      </c>
      <c r="T218" s="146">
        <f>S218*H218</f>
        <v>0</v>
      </c>
      <c r="U218" s="31"/>
      <c r="V218" s="31"/>
      <c r="W218" s="31"/>
      <c r="X218" s="31"/>
      <c r="Y218" s="31"/>
      <c r="Z218" s="31"/>
      <c r="AA218" s="31"/>
      <c r="AB218" s="31"/>
      <c r="AC218" s="31"/>
      <c r="AD218" s="31"/>
      <c r="AE218" s="31"/>
      <c r="AR218" s="147" t="s">
        <v>248</v>
      </c>
      <c r="AT218" s="147" t="s">
        <v>174</v>
      </c>
      <c r="AU218" s="147" t="s">
        <v>85</v>
      </c>
      <c r="AY218" s="19" t="s">
        <v>144</v>
      </c>
      <c r="BE218" s="148">
        <f>IF(N218="základní",J218,0)</f>
        <v>0</v>
      </c>
      <c r="BF218" s="148">
        <f>IF(N218="snížená",J218,0)</f>
        <v>0</v>
      </c>
      <c r="BG218" s="148">
        <f>IF(N218="zákl. přenesená",J218,0)</f>
        <v>0</v>
      </c>
      <c r="BH218" s="148">
        <f>IF(N218="sníž. přenesená",J218,0)</f>
        <v>0</v>
      </c>
      <c r="BI218" s="148">
        <f>IF(N218="nulová",J218,0)</f>
        <v>0</v>
      </c>
      <c r="BJ218" s="19" t="s">
        <v>83</v>
      </c>
      <c r="BK218" s="148">
        <f>ROUND(I218*H218,2)</f>
        <v>0</v>
      </c>
      <c r="BL218" s="19" t="s">
        <v>218</v>
      </c>
      <c r="BM218" s="147" t="s">
        <v>1406</v>
      </c>
    </row>
    <row r="219" spans="2:51" s="14" customFormat="1" ht="12">
      <c r="B219" s="156"/>
      <c r="D219" s="150" t="s">
        <v>154</v>
      </c>
      <c r="F219" s="158" t="s">
        <v>1407</v>
      </c>
      <c r="H219" s="159">
        <v>136.8</v>
      </c>
      <c r="L219" s="156"/>
      <c r="M219" s="160"/>
      <c r="N219" s="161"/>
      <c r="O219" s="161"/>
      <c r="P219" s="161"/>
      <c r="Q219" s="161"/>
      <c r="R219" s="161"/>
      <c r="S219" s="161"/>
      <c r="T219" s="162"/>
      <c r="AT219" s="157" t="s">
        <v>154</v>
      </c>
      <c r="AU219" s="157" t="s">
        <v>85</v>
      </c>
      <c r="AV219" s="14" t="s">
        <v>85</v>
      </c>
      <c r="AW219" s="14" t="s">
        <v>4</v>
      </c>
      <c r="AX219" s="14" t="s">
        <v>83</v>
      </c>
      <c r="AY219" s="157" t="s">
        <v>144</v>
      </c>
    </row>
    <row r="220" spans="1:65" s="2" customFormat="1" ht="24.2" customHeight="1">
      <c r="A220" s="31"/>
      <c r="B220" s="136"/>
      <c r="C220" s="137">
        <v>51</v>
      </c>
      <c r="D220" s="137" t="s">
        <v>147</v>
      </c>
      <c r="E220" s="138" t="s">
        <v>1400</v>
      </c>
      <c r="F220" s="139" t="s">
        <v>1401</v>
      </c>
      <c r="G220" s="140" t="s">
        <v>201</v>
      </c>
      <c r="H220" s="141">
        <v>44</v>
      </c>
      <c r="I220" s="142"/>
      <c r="J220" s="142">
        <f>ROUND(I220*H220,2)</f>
        <v>0</v>
      </c>
      <c r="K220" s="139" t="s">
        <v>157</v>
      </c>
      <c r="L220" s="32"/>
      <c r="M220" s="143" t="s">
        <v>3</v>
      </c>
      <c r="N220" s="144" t="s">
        <v>46</v>
      </c>
      <c r="O220" s="145">
        <v>0.04</v>
      </c>
      <c r="P220" s="145">
        <f>O220*H220</f>
        <v>1.76</v>
      </c>
      <c r="Q220" s="145">
        <v>0</v>
      </c>
      <c r="R220" s="145">
        <f>Q220*H220</f>
        <v>0</v>
      </c>
      <c r="S220" s="145">
        <v>0</v>
      </c>
      <c r="T220" s="146">
        <f>S220*H220</f>
        <v>0</v>
      </c>
      <c r="U220" s="31"/>
      <c r="V220" s="31"/>
      <c r="W220" s="31"/>
      <c r="X220" s="31"/>
      <c r="Y220" s="31"/>
      <c r="Z220" s="31"/>
      <c r="AA220" s="31"/>
      <c r="AB220" s="31"/>
      <c r="AC220" s="31"/>
      <c r="AD220" s="31"/>
      <c r="AE220" s="31"/>
      <c r="AR220" s="147" t="s">
        <v>218</v>
      </c>
      <c r="AT220" s="147" t="s">
        <v>147</v>
      </c>
      <c r="AU220" s="147" t="s">
        <v>85</v>
      </c>
      <c r="AY220" s="19" t="s">
        <v>144</v>
      </c>
      <c r="BE220" s="148">
        <f>IF(N220="základní",J220,0)</f>
        <v>0</v>
      </c>
      <c r="BF220" s="148">
        <f>IF(N220="snížená",J220,0)</f>
        <v>0</v>
      </c>
      <c r="BG220" s="148">
        <f>IF(N220="zákl. přenesená",J220,0)</f>
        <v>0</v>
      </c>
      <c r="BH220" s="148">
        <f>IF(N220="sníž. přenesená",J220,0)</f>
        <v>0</v>
      </c>
      <c r="BI220" s="148">
        <f>IF(N220="nulová",J220,0)</f>
        <v>0</v>
      </c>
      <c r="BJ220" s="19" t="s">
        <v>83</v>
      </c>
      <c r="BK220" s="148">
        <f>ROUND(I220*H220,2)</f>
        <v>0</v>
      </c>
      <c r="BL220" s="19" t="s">
        <v>218</v>
      </c>
      <c r="BM220" s="147" t="s">
        <v>1408</v>
      </c>
    </row>
    <row r="221" spans="1:47" s="2" customFormat="1" ht="29.25">
      <c r="A221" s="31"/>
      <c r="B221" s="32"/>
      <c r="C221" s="31"/>
      <c r="D221" s="150" t="s">
        <v>158</v>
      </c>
      <c r="E221" s="31"/>
      <c r="F221" s="163" t="s">
        <v>1403</v>
      </c>
      <c r="G221" s="31"/>
      <c r="H221" s="31"/>
      <c r="I221" s="31"/>
      <c r="J221" s="31"/>
      <c r="K221" s="31"/>
      <c r="L221" s="32"/>
      <c r="M221" s="164"/>
      <c r="N221" s="165"/>
      <c r="O221" s="52"/>
      <c r="P221" s="52"/>
      <c r="Q221" s="52"/>
      <c r="R221" s="52"/>
      <c r="S221" s="52"/>
      <c r="T221" s="53"/>
      <c r="U221" s="31"/>
      <c r="V221" s="31"/>
      <c r="W221" s="31"/>
      <c r="X221" s="31"/>
      <c r="Y221" s="31"/>
      <c r="Z221" s="31"/>
      <c r="AA221" s="31"/>
      <c r="AB221" s="31"/>
      <c r="AC221" s="31"/>
      <c r="AD221" s="31"/>
      <c r="AE221" s="31"/>
      <c r="AT221" s="19" t="s">
        <v>158</v>
      </c>
      <c r="AU221" s="19" t="s">
        <v>85</v>
      </c>
    </row>
    <row r="222" spans="2:51" s="13" customFormat="1" ht="12">
      <c r="B222" s="149"/>
      <c r="D222" s="150" t="s">
        <v>154</v>
      </c>
      <c r="E222" s="151" t="s">
        <v>3</v>
      </c>
      <c r="F222" s="152" t="s">
        <v>1264</v>
      </c>
      <c r="H222" s="151" t="s">
        <v>3</v>
      </c>
      <c r="L222" s="149"/>
      <c r="M222" s="153"/>
      <c r="N222" s="154"/>
      <c r="O222" s="154"/>
      <c r="P222" s="154"/>
      <c r="Q222" s="154"/>
      <c r="R222" s="154"/>
      <c r="S222" s="154"/>
      <c r="T222" s="155"/>
      <c r="AT222" s="151" t="s">
        <v>154</v>
      </c>
      <c r="AU222" s="151" t="s">
        <v>85</v>
      </c>
      <c r="AV222" s="13" t="s">
        <v>83</v>
      </c>
      <c r="AW222" s="13" t="s">
        <v>37</v>
      </c>
      <c r="AX222" s="13" t="s">
        <v>75</v>
      </c>
      <c r="AY222" s="151" t="s">
        <v>144</v>
      </c>
    </row>
    <row r="223" spans="2:51" s="14" customFormat="1" ht="12">
      <c r="B223" s="156"/>
      <c r="D223" s="150" t="s">
        <v>154</v>
      </c>
      <c r="E223" s="157" t="s">
        <v>3</v>
      </c>
      <c r="F223" s="158" t="s">
        <v>310</v>
      </c>
      <c r="H223" s="159">
        <v>44</v>
      </c>
      <c r="L223" s="156"/>
      <c r="M223" s="160"/>
      <c r="N223" s="161"/>
      <c r="O223" s="161"/>
      <c r="P223" s="161"/>
      <c r="Q223" s="161"/>
      <c r="R223" s="161"/>
      <c r="S223" s="161"/>
      <c r="T223" s="162"/>
      <c r="AT223" s="157" t="s">
        <v>154</v>
      </c>
      <c r="AU223" s="157" t="s">
        <v>85</v>
      </c>
      <c r="AV223" s="14" t="s">
        <v>85</v>
      </c>
      <c r="AW223" s="14" t="s">
        <v>37</v>
      </c>
      <c r="AX223" s="14" t="s">
        <v>83</v>
      </c>
      <c r="AY223" s="157" t="s">
        <v>144</v>
      </c>
    </row>
    <row r="224" spans="1:65" s="2" customFormat="1" ht="24.2" customHeight="1">
      <c r="A224" s="31"/>
      <c r="B224" s="136"/>
      <c r="C224" s="173">
        <v>52</v>
      </c>
      <c r="D224" s="173" t="s">
        <v>174</v>
      </c>
      <c r="E224" s="174" t="s">
        <v>1409</v>
      </c>
      <c r="F224" s="175" t="s">
        <v>1410</v>
      </c>
      <c r="G224" s="176" t="s">
        <v>201</v>
      </c>
      <c r="H224" s="177">
        <v>52.8</v>
      </c>
      <c r="I224" s="178"/>
      <c r="J224" s="178">
        <f>ROUND(I224*H224,2)</f>
        <v>0</v>
      </c>
      <c r="K224" s="175" t="s">
        <v>151</v>
      </c>
      <c r="L224" s="179"/>
      <c r="M224" s="180" t="s">
        <v>3</v>
      </c>
      <c r="N224" s="181" t="s">
        <v>46</v>
      </c>
      <c r="O224" s="145">
        <v>0</v>
      </c>
      <c r="P224" s="145">
        <f>O224*H224</f>
        <v>0</v>
      </c>
      <c r="Q224" s="145">
        <v>0</v>
      </c>
      <c r="R224" s="145">
        <f>Q224*H224</f>
        <v>0</v>
      </c>
      <c r="S224" s="145">
        <v>0</v>
      </c>
      <c r="T224" s="146">
        <f>S224*H224</f>
        <v>0</v>
      </c>
      <c r="U224" s="31"/>
      <c r="V224" s="31"/>
      <c r="W224" s="31"/>
      <c r="X224" s="31"/>
      <c r="Y224" s="31"/>
      <c r="Z224" s="31"/>
      <c r="AA224" s="31"/>
      <c r="AB224" s="31"/>
      <c r="AC224" s="31"/>
      <c r="AD224" s="31"/>
      <c r="AE224" s="31"/>
      <c r="AR224" s="147" t="s">
        <v>248</v>
      </c>
      <c r="AT224" s="147" t="s">
        <v>174</v>
      </c>
      <c r="AU224" s="147" t="s">
        <v>85</v>
      </c>
      <c r="AY224" s="19" t="s">
        <v>144</v>
      </c>
      <c r="BE224" s="148">
        <f>IF(N224="základní",J224,0)</f>
        <v>0</v>
      </c>
      <c r="BF224" s="148">
        <f>IF(N224="snížená",J224,0)</f>
        <v>0</v>
      </c>
      <c r="BG224" s="148">
        <f>IF(N224="zákl. přenesená",J224,0)</f>
        <v>0</v>
      </c>
      <c r="BH224" s="148">
        <f>IF(N224="sníž. přenesená",J224,0)</f>
        <v>0</v>
      </c>
      <c r="BI224" s="148">
        <f>IF(N224="nulová",J224,0)</f>
        <v>0</v>
      </c>
      <c r="BJ224" s="19" t="s">
        <v>83</v>
      </c>
      <c r="BK224" s="148">
        <f>ROUND(I224*H224,2)</f>
        <v>0</v>
      </c>
      <c r="BL224" s="19" t="s">
        <v>218</v>
      </c>
      <c r="BM224" s="147" t="s">
        <v>1411</v>
      </c>
    </row>
    <row r="225" spans="2:51" s="14" customFormat="1" ht="12">
      <c r="B225" s="156"/>
      <c r="D225" s="150" t="s">
        <v>154</v>
      </c>
      <c r="F225" s="158" t="s">
        <v>1412</v>
      </c>
      <c r="H225" s="159">
        <v>52.8</v>
      </c>
      <c r="L225" s="156"/>
      <c r="M225" s="160"/>
      <c r="N225" s="161"/>
      <c r="O225" s="161"/>
      <c r="P225" s="161"/>
      <c r="Q225" s="161"/>
      <c r="R225" s="161"/>
      <c r="S225" s="161"/>
      <c r="T225" s="162"/>
      <c r="AT225" s="157" t="s">
        <v>154</v>
      </c>
      <c r="AU225" s="157" t="s">
        <v>85</v>
      </c>
      <c r="AV225" s="14" t="s">
        <v>85</v>
      </c>
      <c r="AW225" s="14" t="s">
        <v>4</v>
      </c>
      <c r="AX225" s="14" t="s">
        <v>83</v>
      </c>
      <c r="AY225" s="157" t="s">
        <v>144</v>
      </c>
    </row>
    <row r="226" spans="1:65" s="2" customFormat="1" ht="14.45" customHeight="1">
      <c r="A226" s="31"/>
      <c r="B226" s="136"/>
      <c r="C226" s="137">
        <v>53</v>
      </c>
      <c r="D226" s="137" t="s">
        <v>147</v>
      </c>
      <c r="E226" s="138" t="s">
        <v>1413</v>
      </c>
      <c r="F226" s="139" t="s">
        <v>1414</v>
      </c>
      <c r="G226" s="140" t="s">
        <v>156</v>
      </c>
      <c r="H226" s="141">
        <v>1</v>
      </c>
      <c r="I226" s="142"/>
      <c r="J226" s="142">
        <f>ROUND(I226*H226,2)</f>
        <v>0</v>
      </c>
      <c r="K226" s="139" t="s">
        <v>157</v>
      </c>
      <c r="L226" s="32"/>
      <c r="M226" s="143" t="s">
        <v>3</v>
      </c>
      <c r="N226" s="144" t="s">
        <v>46</v>
      </c>
      <c r="O226" s="145">
        <v>0.17</v>
      </c>
      <c r="P226" s="145">
        <f>O226*H226</f>
        <v>0.17</v>
      </c>
      <c r="Q226" s="145">
        <v>0</v>
      </c>
      <c r="R226" s="145">
        <f>Q226*H226</f>
        <v>0</v>
      </c>
      <c r="S226" s="145">
        <v>0</v>
      </c>
      <c r="T226" s="146">
        <f>S226*H226</f>
        <v>0</v>
      </c>
      <c r="U226" s="31"/>
      <c r="V226" s="31"/>
      <c r="W226" s="31"/>
      <c r="X226" s="31"/>
      <c r="Y226" s="31"/>
      <c r="Z226" s="31"/>
      <c r="AA226" s="31"/>
      <c r="AB226" s="31"/>
      <c r="AC226" s="31"/>
      <c r="AD226" s="31"/>
      <c r="AE226" s="31"/>
      <c r="AR226" s="147" t="s">
        <v>218</v>
      </c>
      <c r="AT226" s="147" t="s">
        <v>147</v>
      </c>
      <c r="AU226" s="147" t="s">
        <v>85</v>
      </c>
      <c r="AY226" s="19" t="s">
        <v>144</v>
      </c>
      <c r="BE226" s="148">
        <f>IF(N226="základní",J226,0)</f>
        <v>0</v>
      </c>
      <c r="BF226" s="148">
        <f>IF(N226="snížená",J226,0)</f>
        <v>0</v>
      </c>
      <c r="BG226" s="148">
        <f>IF(N226="zákl. přenesená",J226,0)</f>
        <v>0</v>
      </c>
      <c r="BH226" s="148">
        <f>IF(N226="sníž. přenesená",J226,0)</f>
        <v>0</v>
      </c>
      <c r="BI226" s="148">
        <f>IF(N226="nulová",J226,0)</f>
        <v>0</v>
      </c>
      <c r="BJ226" s="19" t="s">
        <v>83</v>
      </c>
      <c r="BK226" s="148">
        <f>ROUND(I226*H226,2)</f>
        <v>0</v>
      </c>
      <c r="BL226" s="19" t="s">
        <v>218</v>
      </c>
      <c r="BM226" s="147" t="s">
        <v>1415</v>
      </c>
    </row>
    <row r="227" spans="2:51" s="13" customFormat="1" ht="12">
      <c r="B227" s="149"/>
      <c r="D227" s="150" t="s">
        <v>154</v>
      </c>
      <c r="E227" s="151" t="s">
        <v>3</v>
      </c>
      <c r="F227" s="152" t="s">
        <v>1264</v>
      </c>
      <c r="H227" s="151" t="s">
        <v>3</v>
      </c>
      <c r="L227" s="149"/>
      <c r="M227" s="153"/>
      <c r="N227" s="154"/>
      <c r="O227" s="154"/>
      <c r="P227" s="154"/>
      <c r="Q227" s="154"/>
      <c r="R227" s="154"/>
      <c r="S227" s="154"/>
      <c r="T227" s="155"/>
      <c r="AT227" s="151" t="s">
        <v>154</v>
      </c>
      <c r="AU227" s="151" t="s">
        <v>85</v>
      </c>
      <c r="AV227" s="13" t="s">
        <v>83</v>
      </c>
      <c r="AW227" s="13" t="s">
        <v>37</v>
      </c>
      <c r="AX227" s="13" t="s">
        <v>75</v>
      </c>
      <c r="AY227" s="151" t="s">
        <v>144</v>
      </c>
    </row>
    <row r="228" spans="2:51" s="14" customFormat="1" ht="12">
      <c r="B228" s="156"/>
      <c r="D228" s="150" t="s">
        <v>154</v>
      </c>
      <c r="E228" s="157" t="s">
        <v>3</v>
      </c>
      <c r="F228" s="158" t="s">
        <v>83</v>
      </c>
      <c r="H228" s="159">
        <v>1</v>
      </c>
      <c r="L228" s="156"/>
      <c r="M228" s="160"/>
      <c r="N228" s="161"/>
      <c r="O228" s="161"/>
      <c r="P228" s="161"/>
      <c r="Q228" s="161"/>
      <c r="R228" s="161"/>
      <c r="S228" s="161"/>
      <c r="T228" s="162"/>
      <c r="AT228" s="157" t="s">
        <v>154</v>
      </c>
      <c r="AU228" s="157" t="s">
        <v>85</v>
      </c>
      <c r="AV228" s="14" t="s">
        <v>85</v>
      </c>
      <c r="AW228" s="14" t="s">
        <v>37</v>
      </c>
      <c r="AX228" s="14" t="s">
        <v>83</v>
      </c>
      <c r="AY228" s="157" t="s">
        <v>144</v>
      </c>
    </row>
    <row r="229" spans="1:65" s="2" customFormat="1" ht="24.2" customHeight="1">
      <c r="A229" s="31"/>
      <c r="B229" s="136"/>
      <c r="C229" s="173">
        <v>54</v>
      </c>
      <c r="D229" s="173" t="s">
        <v>174</v>
      </c>
      <c r="E229" s="174" t="s">
        <v>1416</v>
      </c>
      <c r="F229" s="175" t="s">
        <v>1417</v>
      </c>
      <c r="G229" s="176" t="s">
        <v>156</v>
      </c>
      <c r="H229" s="177">
        <v>1</v>
      </c>
      <c r="I229" s="178"/>
      <c r="J229" s="178">
        <f>ROUND(I229*H229,2)</f>
        <v>0</v>
      </c>
      <c r="K229" s="175" t="s">
        <v>157</v>
      </c>
      <c r="L229" s="179"/>
      <c r="M229" s="180" t="s">
        <v>3</v>
      </c>
      <c r="N229" s="181" t="s">
        <v>46</v>
      </c>
      <c r="O229" s="145">
        <v>0</v>
      </c>
      <c r="P229" s="145">
        <f>O229*H229</f>
        <v>0</v>
      </c>
      <c r="Q229" s="145">
        <v>0.0081</v>
      </c>
      <c r="R229" s="145">
        <f>Q229*H229</f>
        <v>0.0081</v>
      </c>
      <c r="S229" s="145">
        <v>0</v>
      </c>
      <c r="T229" s="146">
        <f>S229*H229</f>
        <v>0</v>
      </c>
      <c r="U229" s="31"/>
      <c r="V229" s="31"/>
      <c r="W229" s="31"/>
      <c r="X229" s="31"/>
      <c r="Y229" s="31"/>
      <c r="Z229" s="31"/>
      <c r="AA229" s="31"/>
      <c r="AB229" s="31"/>
      <c r="AC229" s="31"/>
      <c r="AD229" s="31"/>
      <c r="AE229" s="31"/>
      <c r="AR229" s="147" t="s">
        <v>248</v>
      </c>
      <c r="AT229" s="147" t="s">
        <v>174</v>
      </c>
      <c r="AU229" s="147" t="s">
        <v>85</v>
      </c>
      <c r="AY229" s="19" t="s">
        <v>144</v>
      </c>
      <c r="BE229" s="148">
        <f>IF(N229="základní",J229,0)</f>
        <v>0</v>
      </c>
      <c r="BF229" s="148">
        <f>IF(N229="snížená",J229,0)</f>
        <v>0</v>
      </c>
      <c r="BG229" s="148">
        <f>IF(N229="zákl. přenesená",J229,0)</f>
        <v>0</v>
      </c>
      <c r="BH229" s="148">
        <f>IF(N229="sníž. přenesená",J229,0)</f>
        <v>0</v>
      </c>
      <c r="BI229" s="148">
        <f>IF(N229="nulová",J229,0)</f>
        <v>0</v>
      </c>
      <c r="BJ229" s="19" t="s">
        <v>83</v>
      </c>
      <c r="BK229" s="148">
        <f>ROUND(I229*H229,2)</f>
        <v>0</v>
      </c>
      <c r="BL229" s="19" t="s">
        <v>218</v>
      </c>
      <c r="BM229" s="147" t="s">
        <v>1418</v>
      </c>
    </row>
    <row r="230" spans="1:65" s="2" customFormat="1" ht="37.9" customHeight="1">
      <c r="A230" s="31"/>
      <c r="B230" s="136"/>
      <c r="C230" s="137">
        <v>55</v>
      </c>
      <c r="D230" s="137" t="s">
        <v>147</v>
      </c>
      <c r="E230" s="138" t="s">
        <v>1419</v>
      </c>
      <c r="F230" s="139" t="s">
        <v>1420</v>
      </c>
      <c r="G230" s="140" t="s">
        <v>156</v>
      </c>
      <c r="H230" s="141">
        <f>H232</f>
        <v>14</v>
      </c>
      <c r="I230" s="142"/>
      <c r="J230" s="142">
        <f>ROUND(I230*H230,2)</f>
        <v>0</v>
      </c>
      <c r="K230" s="139" t="s">
        <v>157</v>
      </c>
      <c r="L230" s="32"/>
      <c r="M230" s="143" t="s">
        <v>3</v>
      </c>
      <c r="N230" s="144" t="s">
        <v>46</v>
      </c>
      <c r="O230" s="145">
        <v>0.25</v>
      </c>
      <c r="P230" s="145">
        <f>O230*H230</f>
        <v>3.5</v>
      </c>
      <c r="Q230" s="145">
        <v>0</v>
      </c>
      <c r="R230" s="145">
        <f>Q230*H230</f>
        <v>0</v>
      </c>
      <c r="S230" s="145">
        <v>0</v>
      </c>
      <c r="T230" s="146">
        <f>S230*H230</f>
        <v>0</v>
      </c>
      <c r="U230" s="31"/>
      <c r="V230" s="31"/>
      <c r="W230" s="31"/>
      <c r="X230" s="31"/>
      <c r="Y230" s="31"/>
      <c r="Z230" s="31"/>
      <c r="AA230" s="31"/>
      <c r="AB230" s="31"/>
      <c r="AC230" s="31"/>
      <c r="AD230" s="31"/>
      <c r="AE230" s="31"/>
      <c r="AR230" s="147" t="s">
        <v>218</v>
      </c>
      <c r="AT230" s="147" t="s">
        <v>147</v>
      </c>
      <c r="AU230" s="147" t="s">
        <v>85</v>
      </c>
      <c r="AY230" s="19" t="s">
        <v>144</v>
      </c>
      <c r="BE230" s="148">
        <f>IF(N230="základní",J230,0)</f>
        <v>0</v>
      </c>
      <c r="BF230" s="148">
        <f>IF(N230="snížená",J230,0)</f>
        <v>0</v>
      </c>
      <c r="BG230" s="148">
        <f>IF(N230="zákl. přenesená",J230,0)</f>
        <v>0</v>
      </c>
      <c r="BH230" s="148">
        <f>IF(N230="sníž. přenesená",J230,0)</f>
        <v>0</v>
      </c>
      <c r="BI230" s="148">
        <f>IF(N230="nulová",J230,0)</f>
        <v>0</v>
      </c>
      <c r="BJ230" s="19" t="s">
        <v>83</v>
      </c>
      <c r="BK230" s="148">
        <f>ROUND(I230*H230,2)</f>
        <v>0</v>
      </c>
      <c r="BL230" s="19" t="s">
        <v>218</v>
      </c>
      <c r="BM230" s="147" t="s">
        <v>1421</v>
      </c>
    </row>
    <row r="231" spans="2:51" s="13" customFormat="1" ht="12">
      <c r="B231" s="149"/>
      <c r="D231" s="150" t="s">
        <v>154</v>
      </c>
      <c r="E231" s="151" t="s">
        <v>3</v>
      </c>
      <c r="F231" s="152" t="s">
        <v>1264</v>
      </c>
      <c r="H231" s="151" t="s">
        <v>3</v>
      </c>
      <c r="L231" s="149"/>
      <c r="M231" s="153"/>
      <c r="N231" s="154"/>
      <c r="O231" s="154"/>
      <c r="P231" s="154"/>
      <c r="Q231" s="154"/>
      <c r="R231" s="154"/>
      <c r="S231" s="154"/>
      <c r="T231" s="155"/>
      <c r="AT231" s="151" t="s">
        <v>154</v>
      </c>
      <c r="AU231" s="151" t="s">
        <v>85</v>
      </c>
      <c r="AV231" s="13" t="s">
        <v>83</v>
      </c>
      <c r="AW231" s="13" t="s">
        <v>37</v>
      </c>
      <c r="AX231" s="13" t="s">
        <v>75</v>
      </c>
      <c r="AY231" s="151" t="s">
        <v>144</v>
      </c>
    </row>
    <row r="232" spans="2:51" s="14" customFormat="1" ht="12">
      <c r="B232" s="156"/>
      <c r="D232" s="150" t="s">
        <v>154</v>
      </c>
      <c r="E232" s="157" t="s">
        <v>3</v>
      </c>
      <c r="F232" s="158" t="s">
        <v>1824</v>
      </c>
      <c r="H232" s="159">
        <v>14</v>
      </c>
      <c r="L232" s="156"/>
      <c r="M232" s="160"/>
      <c r="N232" s="161"/>
      <c r="O232" s="161"/>
      <c r="P232" s="161"/>
      <c r="Q232" s="161"/>
      <c r="R232" s="161"/>
      <c r="S232" s="161"/>
      <c r="T232" s="162"/>
      <c r="AT232" s="157" t="s">
        <v>154</v>
      </c>
      <c r="AU232" s="157" t="s">
        <v>85</v>
      </c>
      <c r="AV232" s="14" t="s">
        <v>85</v>
      </c>
      <c r="AW232" s="14" t="s">
        <v>37</v>
      </c>
      <c r="AX232" s="14" t="s">
        <v>83</v>
      </c>
      <c r="AY232" s="157" t="s">
        <v>144</v>
      </c>
    </row>
    <row r="233" spans="1:65" s="2" customFormat="1" ht="14.45" customHeight="1">
      <c r="A233" s="31"/>
      <c r="B233" s="136"/>
      <c r="C233" s="173">
        <v>56</v>
      </c>
      <c r="D233" s="173" t="s">
        <v>174</v>
      </c>
      <c r="E233" s="174" t="s">
        <v>1422</v>
      </c>
      <c r="F233" s="175" t="s">
        <v>1423</v>
      </c>
      <c r="G233" s="176" t="s">
        <v>156</v>
      </c>
      <c r="H233" s="177">
        <f>H230</f>
        <v>14</v>
      </c>
      <c r="I233" s="178"/>
      <c r="J233" s="178">
        <f>ROUND(I233*H233,2)</f>
        <v>0</v>
      </c>
      <c r="K233" s="175" t="s">
        <v>151</v>
      </c>
      <c r="L233" s="179"/>
      <c r="M233" s="180" t="s">
        <v>3</v>
      </c>
      <c r="N233" s="181" t="s">
        <v>46</v>
      </c>
      <c r="O233" s="145">
        <v>0</v>
      </c>
      <c r="P233" s="145">
        <f>O233*H233</f>
        <v>0</v>
      </c>
      <c r="Q233" s="145">
        <v>0.0001</v>
      </c>
      <c r="R233" s="145">
        <f>Q233*H233</f>
        <v>0.0014</v>
      </c>
      <c r="S233" s="145">
        <v>0</v>
      </c>
      <c r="T233" s="146">
        <f>S233*H233</f>
        <v>0</v>
      </c>
      <c r="U233" s="31"/>
      <c r="V233" s="31"/>
      <c r="W233" s="31"/>
      <c r="X233" s="31"/>
      <c r="Y233" s="31"/>
      <c r="Z233" s="31"/>
      <c r="AA233" s="31"/>
      <c r="AB233" s="31"/>
      <c r="AC233" s="31"/>
      <c r="AD233" s="31"/>
      <c r="AE233" s="31"/>
      <c r="AR233" s="147" t="s">
        <v>248</v>
      </c>
      <c r="AT233" s="147" t="s">
        <v>174</v>
      </c>
      <c r="AU233" s="147" t="s">
        <v>85</v>
      </c>
      <c r="AY233" s="19" t="s">
        <v>144</v>
      </c>
      <c r="BE233" s="148">
        <f>IF(N233="základní",J233,0)</f>
        <v>0</v>
      </c>
      <c r="BF233" s="148">
        <f>IF(N233="snížená",J233,0)</f>
        <v>0</v>
      </c>
      <c r="BG233" s="148">
        <f>IF(N233="zákl. přenesená",J233,0)</f>
        <v>0</v>
      </c>
      <c r="BH233" s="148">
        <f>IF(N233="sníž. přenesená",J233,0)</f>
        <v>0</v>
      </c>
      <c r="BI233" s="148">
        <f>IF(N233="nulová",J233,0)</f>
        <v>0</v>
      </c>
      <c r="BJ233" s="19" t="s">
        <v>83</v>
      </c>
      <c r="BK233" s="148">
        <f>ROUND(I233*H233,2)</f>
        <v>0</v>
      </c>
      <c r="BL233" s="19" t="s">
        <v>218</v>
      </c>
      <c r="BM233" s="147" t="s">
        <v>1424</v>
      </c>
    </row>
    <row r="234" spans="1:65" s="2" customFormat="1" ht="24.2" customHeight="1">
      <c r="A234" s="31"/>
      <c r="B234" s="136"/>
      <c r="C234" s="137">
        <v>57</v>
      </c>
      <c r="D234" s="137" t="s">
        <v>147</v>
      </c>
      <c r="E234" s="138" t="s">
        <v>1425</v>
      </c>
      <c r="F234" s="139" t="s">
        <v>1426</v>
      </c>
      <c r="G234" s="140" t="s">
        <v>156</v>
      </c>
      <c r="H234" s="141">
        <f>H230</f>
        <v>14</v>
      </c>
      <c r="I234" s="142"/>
      <c r="J234" s="142">
        <f>ROUND(I234*H234,2)</f>
        <v>0</v>
      </c>
      <c r="K234" s="139" t="s">
        <v>157</v>
      </c>
      <c r="L234" s="32"/>
      <c r="M234" s="143" t="s">
        <v>3</v>
      </c>
      <c r="N234" s="144" t="s">
        <v>46</v>
      </c>
      <c r="O234" s="145">
        <v>0.018</v>
      </c>
      <c r="P234" s="145">
        <f>O234*H234</f>
        <v>0.252</v>
      </c>
      <c r="Q234" s="145">
        <v>0</v>
      </c>
      <c r="R234" s="145">
        <f>Q234*H234</f>
        <v>0</v>
      </c>
      <c r="S234" s="145">
        <v>0</v>
      </c>
      <c r="T234" s="146">
        <f>S234*H234</f>
        <v>0</v>
      </c>
      <c r="U234" s="31"/>
      <c r="V234" s="31"/>
      <c r="W234" s="31"/>
      <c r="X234" s="31"/>
      <c r="Y234" s="31"/>
      <c r="Z234" s="31"/>
      <c r="AA234" s="31"/>
      <c r="AB234" s="31"/>
      <c r="AC234" s="31"/>
      <c r="AD234" s="31"/>
      <c r="AE234" s="31"/>
      <c r="AR234" s="147" t="s">
        <v>218</v>
      </c>
      <c r="AT234" s="147" t="s">
        <v>147</v>
      </c>
      <c r="AU234" s="147" t="s">
        <v>85</v>
      </c>
      <c r="AY234" s="19" t="s">
        <v>144</v>
      </c>
      <c r="BE234" s="148">
        <f>IF(N234="základní",J234,0)</f>
        <v>0</v>
      </c>
      <c r="BF234" s="148">
        <f>IF(N234="snížená",J234,0)</f>
        <v>0</v>
      </c>
      <c r="BG234" s="148">
        <f>IF(N234="zákl. přenesená",J234,0)</f>
        <v>0</v>
      </c>
      <c r="BH234" s="148">
        <f>IF(N234="sníž. přenesená",J234,0)</f>
        <v>0</v>
      </c>
      <c r="BI234" s="148">
        <f>IF(N234="nulová",J234,0)</f>
        <v>0</v>
      </c>
      <c r="BJ234" s="19" t="s">
        <v>83</v>
      </c>
      <c r="BK234" s="148">
        <f>ROUND(I234*H234,2)</f>
        <v>0</v>
      </c>
      <c r="BL234" s="19" t="s">
        <v>218</v>
      </c>
      <c r="BM234" s="147" t="s">
        <v>1427</v>
      </c>
    </row>
    <row r="235" spans="1:65" s="2" customFormat="1" ht="24.2" customHeight="1">
      <c r="A235" s="31"/>
      <c r="B235" s="136"/>
      <c r="C235" s="137">
        <v>58</v>
      </c>
      <c r="D235" s="137" t="s">
        <v>147</v>
      </c>
      <c r="E235" s="138" t="s">
        <v>1428</v>
      </c>
      <c r="F235" s="139" t="s">
        <v>1429</v>
      </c>
      <c r="G235" s="140" t="s">
        <v>156</v>
      </c>
      <c r="H235" s="141">
        <f>H237</f>
        <v>6</v>
      </c>
      <c r="I235" s="142"/>
      <c r="J235" s="142">
        <f>ROUND(I235*H235,2)</f>
        <v>0</v>
      </c>
      <c r="K235" s="139" t="s">
        <v>157</v>
      </c>
      <c r="L235" s="32"/>
      <c r="M235" s="143" t="s">
        <v>3</v>
      </c>
      <c r="N235" s="144" t="s">
        <v>46</v>
      </c>
      <c r="O235" s="145">
        <v>0.21</v>
      </c>
      <c r="P235" s="145">
        <f>O235*H235</f>
        <v>1.26</v>
      </c>
      <c r="Q235" s="145">
        <v>0</v>
      </c>
      <c r="R235" s="145">
        <f>Q235*H235</f>
        <v>0</v>
      </c>
      <c r="S235" s="145">
        <v>0</v>
      </c>
      <c r="T235" s="146">
        <f>S235*H235</f>
        <v>0</v>
      </c>
      <c r="U235" s="31"/>
      <c r="V235" s="31"/>
      <c r="W235" s="31"/>
      <c r="X235" s="31"/>
      <c r="Y235" s="31"/>
      <c r="Z235" s="31"/>
      <c r="AA235" s="31"/>
      <c r="AB235" s="31"/>
      <c r="AC235" s="31"/>
      <c r="AD235" s="31"/>
      <c r="AE235" s="31"/>
      <c r="AR235" s="147" t="s">
        <v>218</v>
      </c>
      <c r="AT235" s="147" t="s">
        <v>147</v>
      </c>
      <c r="AU235" s="147" t="s">
        <v>85</v>
      </c>
      <c r="AY235" s="19" t="s">
        <v>144</v>
      </c>
      <c r="BE235" s="148">
        <f>IF(N235="základní",J235,0)</f>
        <v>0</v>
      </c>
      <c r="BF235" s="148">
        <f>IF(N235="snížená",J235,0)</f>
        <v>0</v>
      </c>
      <c r="BG235" s="148">
        <f>IF(N235="zákl. přenesená",J235,0)</f>
        <v>0</v>
      </c>
      <c r="BH235" s="148">
        <f>IF(N235="sníž. přenesená",J235,0)</f>
        <v>0</v>
      </c>
      <c r="BI235" s="148">
        <f>IF(N235="nulová",J235,0)</f>
        <v>0</v>
      </c>
      <c r="BJ235" s="19" t="s">
        <v>83</v>
      </c>
      <c r="BK235" s="148">
        <f>ROUND(I235*H235,2)</f>
        <v>0</v>
      </c>
      <c r="BL235" s="19" t="s">
        <v>218</v>
      </c>
      <c r="BM235" s="147" t="s">
        <v>1430</v>
      </c>
    </row>
    <row r="236" spans="2:51" s="13" customFormat="1" ht="12">
      <c r="B236" s="149"/>
      <c r="D236" s="150" t="s">
        <v>154</v>
      </c>
      <c r="E236" s="151" t="s">
        <v>3</v>
      </c>
      <c r="F236" s="152" t="s">
        <v>1264</v>
      </c>
      <c r="H236" s="151" t="s">
        <v>3</v>
      </c>
      <c r="L236" s="149"/>
      <c r="M236" s="153"/>
      <c r="N236" s="154"/>
      <c r="O236" s="154"/>
      <c r="P236" s="154"/>
      <c r="Q236" s="154"/>
      <c r="R236" s="154"/>
      <c r="S236" s="154"/>
      <c r="T236" s="155"/>
      <c r="AT236" s="151" t="s">
        <v>154</v>
      </c>
      <c r="AU236" s="151" t="s">
        <v>85</v>
      </c>
      <c r="AV236" s="13" t="s">
        <v>83</v>
      </c>
      <c r="AW236" s="13" t="s">
        <v>37</v>
      </c>
      <c r="AX236" s="13" t="s">
        <v>75</v>
      </c>
      <c r="AY236" s="151" t="s">
        <v>144</v>
      </c>
    </row>
    <row r="237" spans="2:51" s="14" customFormat="1" ht="12">
      <c r="B237" s="156"/>
      <c r="D237" s="150" t="s">
        <v>154</v>
      </c>
      <c r="E237" s="157" t="s">
        <v>3</v>
      </c>
      <c r="F237" s="158" t="s">
        <v>1825</v>
      </c>
      <c r="H237" s="159">
        <v>6</v>
      </c>
      <c r="L237" s="156"/>
      <c r="M237" s="160"/>
      <c r="N237" s="161"/>
      <c r="O237" s="161"/>
      <c r="P237" s="161"/>
      <c r="Q237" s="161"/>
      <c r="R237" s="161"/>
      <c r="S237" s="161"/>
      <c r="T237" s="162"/>
      <c r="AT237" s="157" t="s">
        <v>154</v>
      </c>
      <c r="AU237" s="157" t="s">
        <v>85</v>
      </c>
      <c r="AV237" s="14" t="s">
        <v>85</v>
      </c>
      <c r="AW237" s="14" t="s">
        <v>37</v>
      </c>
      <c r="AX237" s="14" t="s">
        <v>83</v>
      </c>
      <c r="AY237" s="157" t="s">
        <v>144</v>
      </c>
    </row>
    <row r="238" spans="1:65" s="2" customFormat="1" ht="14.45" customHeight="1">
      <c r="A238" s="31"/>
      <c r="B238" s="136"/>
      <c r="C238" s="173">
        <v>59</v>
      </c>
      <c r="D238" s="173" t="s">
        <v>174</v>
      </c>
      <c r="E238" s="174" t="s">
        <v>1431</v>
      </c>
      <c r="F238" s="175" t="s">
        <v>1432</v>
      </c>
      <c r="G238" s="176" t="s">
        <v>156</v>
      </c>
      <c r="H238" s="177">
        <f>H235</f>
        <v>6</v>
      </c>
      <c r="I238" s="178"/>
      <c r="J238" s="178">
        <f>ROUND(I238*H238,2)</f>
        <v>0</v>
      </c>
      <c r="K238" s="175" t="s">
        <v>157</v>
      </c>
      <c r="L238" s="179"/>
      <c r="M238" s="180" t="s">
        <v>3</v>
      </c>
      <c r="N238" s="181" t="s">
        <v>46</v>
      </c>
      <c r="O238" s="145">
        <v>0</v>
      </c>
      <c r="P238" s="145">
        <f>O238*H238</f>
        <v>0</v>
      </c>
      <c r="Q238" s="145">
        <v>6E-05</v>
      </c>
      <c r="R238" s="145">
        <f>Q238*H238</f>
        <v>0.00036</v>
      </c>
      <c r="S238" s="145">
        <v>0</v>
      </c>
      <c r="T238" s="146">
        <f>S238*H238</f>
        <v>0</v>
      </c>
      <c r="U238" s="31"/>
      <c r="V238" s="31"/>
      <c r="W238" s="31"/>
      <c r="X238" s="31"/>
      <c r="Y238" s="31"/>
      <c r="Z238" s="31"/>
      <c r="AA238" s="31"/>
      <c r="AB238" s="31"/>
      <c r="AC238" s="31"/>
      <c r="AD238" s="31"/>
      <c r="AE238" s="31"/>
      <c r="AR238" s="147" t="s">
        <v>248</v>
      </c>
      <c r="AT238" s="147" t="s">
        <v>174</v>
      </c>
      <c r="AU238" s="147" t="s">
        <v>85</v>
      </c>
      <c r="AY238" s="19" t="s">
        <v>144</v>
      </c>
      <c r="BE238" s="148">
        <f>IF(N238="základní",J238,0)</f>
        <v>0</v>
      </c>
      <c r="BF238" s="148">
        <f>IF(N238="snížená",J238,0)</f>
        <v>0</v>
      </c>
      <c r="BG238" s="148">
        <f>IF(N238="zákl. přenesená",J238,0)</f>
        <v>0</v>
      </c>
      <c r="BH238" s="148">
        <f>IF(N238="sníž. přenesená",J238,0)</f>
        <v>0</v>
      </c>
      <c r="BI238" s="148">
        <f>IF(N238="nulová",J238,0)</f>
        <v>0</v>
      </c>
      <c r="BJ238" s="19" t="s">
        <v>83</v>
      </c>
      <c r="BK238" s="148">
        <f>ROUND(I238*H238,2)</f>
        <v>0</v>
      </c>
      <c r="BL238" s="19" t="s">
        <v>218</v>
      </c>
      <c r="BM238" s="147" t="s">
        <v>1433</v>
      </c>
    </row>
    <row r="239" spans="1:65" s="2" customFormat="1" ht="37.9" customHeight="1">
      <c r="A239" s="31"/>
      <c r="B239" s="136"/>
      <c r="C239" s="137">
        <v>60</v>
      </c>
      <c r="D239" s="137" t="s">
        <v>147</v>
      </c>
      <c r="E239" s="138" t="s">
        <v>1434</v>
      </c>
      <c r="F239" s="139" t="s">
        <v>1435</v>
      </c>
      <c r="G239" s="140" t="s">
        <v>387</v>
      </c>
      <c r="H239" s="141">
        <f>SUM(J214:J238)/100</f>
        <v>0</v>
      </c>
      <c r="I239" s="142"/>
      <c r="J239" s="142">
        <f>ROUND(I239*H239,2)</f>
        <v>0</v>
      </c>
      <c r="K239" s="139" t="s">
        <v>157</v>
      </c>
      <c r="L239" s="32"/>
      <c r="M239" s="143" t="s">
        <v>3</v>
      </c>
      <c r="N239" s="144" t="s">
        <v>46</v>
      </c>
      <c r="O239" s="145">
        <v>0</v>
      </c>
      <c r="P239" s="145">
        <f>O239*H239</f>
        <v>0</v>
      </c>
      <c r="Q239" s="145">
        <v>0</v>
      </c>
      <c r="R239" s="145">
        <f>Q239*H239</f>
        <v>0</v>
      </c>
      <c r="S239" s="145">
        <v>0</v>
      </c>
      <c r="T239" s="146">
        <f>S239*H239</f>
        <v>0</v>
      </c>
      <c r="U239" s="31"/>
      <c r="V239" s="31"/>
      <c r="W239" s="31"/>
      <c r="X239" s="31"/>
      <c r="Y239" s="31"/>
      <c r="Z239" s="31"/>
      <c r="AA239" s="31"/>
      <c r="AB239" s="31"/>
      <c r="AC239" s="31"/>
      <c r="AD239" s="31"/>
      <c r="AE239" s="31"/>
      <c r="AR239" s="147" t="s">
        <v>218</v>
      </c>
      <c r="AT239" s="147" t="s">
        <v>147</v>
      </c>
      <c r="AU239" s="147" t="s">
        <v>85</v>
      </c>
      <c r="AY239" s="19" t="s">
        <v>144</v>
      </c>
      <c r="BE239" s="148">
        <f>IF(N239="základní",J239,0)</f>
        <v>0</v>
      </c>
      <c r="BF239" s="148">
        <f>IF(N239="snížená",J239,0)</f>
        <v>0</v>
      </c>
      <c r="BG239" s="148">
        <f>IF(N239="zákl. přenesená",J239,0)</f>
        <v>0</v>
      </c>
      <c r="BH239" s="148">
        <f>IF(N239="sníž. přenesená",J239,0)</f>
        <v>0</v>
      </c>
      <c r="BI239" s="148">
        <f>IF(N239="nulová",J239,0)</f>
        <v>0</v>
      </c>
      <c r="BJ239" s="19" t="s">
        <v>83</v>
      </c>
      <c r="BK239" s="148">
        <f>ROUND(I239*H239,2)</f>
        <v>0</v>
      </c>
      <c r="BL239" s="19" t="s">
        <v>218</v>
      </c>
      <c r="BM239" s="147" t="s">
        <v>1436</v>
      </c>
    </row>
    <row r="240" spans="1:47" s="2" customFormat="1" ht="126.75">
      <c r="A240" s="31"/>
      <c r="B240" s="32"/>
      <c r="C240" s="31"/>
      <c r="D240" s="150" t="s">
        <v>158</v>
      </c>
      <c r="E240" s="31"/>
      <c r="F240" s="163" t="s">
        <v>1038</v>
      </c>
      <c r="G240" s="31"/>
      <c r="H240" s="31"/>
      <c r="I240" s="31"/>
      <c r="J240" s="31"/>
      <c r="K240" s="31"/>
      <c r="L240" s="32"/>
      <c r="M240" s="164"/>
      <c r="N240" s="165"/>
      <c r="O240" s="52"/>
      <c r="P240" s="52"/>
      <c r="Q240" s="52"/>
      <c r="R240" s="52"/>
      <c r="S240" s="52"/>
      <c r="T240" s="53"/>
      <c r="U240" s="31"/>
      <c r="V240" s="31"/>
      <c r="W240" s="31"/>
      <c r="X240" s="31"/>
      <c r="Y240" s="31"/>
      <c r="Z240" s="31"/>
      <c r="AA240" s="31"/>
      <c r="AB240" s="31"/>
      <c r="AC240" s="31"/>
      <c r="AD240" s="31"/>
      <c r="AE240" s="31"/>
      <c r="AT240" s="19" t="s">
        <v>158</v>
      </c>
      <c r="AU240" s="19" t="s">
        <v>85</v>
      </c>
    </row>
    <row r="241" spans="1:65" s="2" customFormat="1" ht="49.15" customHeight="1">
      <c r="A241" s="31"/>
      <c r="B241" s="136"/>
      <c r="C241" s="137">
        <v>61</v>
      </c>
      <c r="D241" s="137" t="s">
        <v>147</v>
      </c>
      <c r="E241" s="138" t="s">
        <v>1437</v>
      </c>
      <c r="F241" s="139" t="s">
        <v>1438</v>
      </c>
      <c r="G241" s="140" t="s">
        <v>387</v>
      </c>
      <c r="H241" s="141">
        <f>H239</f>
        <v>0</v>
      </c>
      <c r="I241" s="142"/>
      <c r="J241" s="142">
        <f>ROUND(I241*H241,2)</f>
        <v>0</v>
      </c>
      <c r="K241" s="139" t="s">
        <v>157</v>
      </c>
      <c r="L241" s="32"/>
      <c r="M241" s="143" t="s">
        <v>3</v>
      </c>
      <c r="N241" s="144" t="s">
        <v>46</v>
      </c>
      <c r="O241" s="145">
        <v>0</v>
      </c>
      <c r="P241" s="145">
        <f>O241*H241</f>
        <v>0</v>
      </c>
      <c r="Q241" s="145">
        <v>0</v>
      </c>
      <c r="R241" s="145">
        <f>Q241*H241</f>
        <v>0</v>
      </c>
      <c r="S241" s="145">
        <v>0</v>
      </c>
      <c r="T241" s="146">
        <f>S241*H241</f>
        <v>0</v>
      </c>
      <c r="U241" s="31"/>
      <c r="V241" s="31"/>
      <c r="W241" s="31"/>
      <c r="X241" s="31"/>
      <c r="Y241" s="31"/>
      <c r="Z241" s="31"/>
      <c r="AA241" s="31"/>
      <c r="AB241" s="31"/>
      <c r="AC241" s="31"/>
      <c r="AD241" s="31"/>
      <c r="AE241" s="31"/>
      <c r="AR241" s="147" t="s">
        <v>218</v>
      </c>
      <c r="AT241" s="147" t="s">
        <v>147</v>
      </c>
      <c r="AU241" s="147" t="s">
        <v>85</v>
      </c>
      <c r="AY241" s="19" t="s">
        <v>144</v>
      </c>
      <c r="BE241" s="148">
        <f>IF(N241="základní",J241,0)</f>
        <v>0</v>
      </c>
      <c r="BF241" s="148">
        <f>IF(N241="snížená",J241,0)</f>
        <v>0</v>
      </c>
      <c r="BG241" s="148">
        <f>IF(N241="zákl. přenesená",J241,0)</f>
        <v>0</v>
      </c>
      <c r="BH241" s="148">
        <f>IF(N241="sníž. přenesená",J241,0)</f>
        <v>0</v>
      </c>
      <c r="BI241" s="148">
        <f>IF(N241="nulová",J241,0)</f>
        <v>0</v>
      </c>
      <c r="BJ241" s="19" t="s">
        <v>83</v>
      </c>
      <c r="BK241" s="148">
        <f>ROUND(I241*H241,2)</f>
        <v>0</v>
      </c>
      <c r="BL241" s="19" t="s">
        <v>218</v>
      </c>
      <c r="BM241" s="147" t="s">
        <v>1439</v>
      </c>
    </row>
    <row r="242" spans="1:47" s="2" customFormat="1" ht="126.75">
      <c r="A242" s="31"/>
      <c r="B242" s="32"/>
      <c r="C242" s="31"/>
      <c r="D242" s="150" t="s">
        <v>158</v>
      </c>
      <c r="E242" s="31"/>
      <c r="F242" s="163" t="s">
        <v>1038</v>
      </c>
      <c r="G242" s="31"/>
      <c r="H242" s="31"/>
      <c r="I242" s="31"/>
      <c r="J242" s="31"/>
      <c r="K242" s="31"/>
      <c r="L242" s="32"/>
      <c r="M242" s="164"/>
      <c r="N242" s="165"/>
      <c r="O242" s="52"/>
      <c r="P242" s="52"/>
      <c r="Q242" s="52"/>
      <c r="R242" s="52"/>
      <c r="S242" s="52"/>
      <c r="T242" s="53"/>
      <c r="U242" s="31"/>
      <c r="V242" s="31"/>
      <c r="W242" s="31"/>
      <c r="X242" s="31"/>
      <c r="Y242" s="31"/>
      <c r="Z242" s="31"/>
      <c r="AA242" s="31"/>
      <c r="AB242" s="31"/>
      <c r="AC242" s="31"/>
      <c r="AD242" s="31"/>
      <c r="AE242" s="31"/>
      <c r="AT242" s="19" t="s">
        <v>158</v>
      </c>
      <c r="AU242" s="19" t="s">
        <v>85</v>
      </c>
    </row>
    <row r="243" spans="2:63" s="12" customFormat="1" ht="25.9" customHeight="1">
      <c r="B243" s="124"/>
      <c r="D243" s="125" t="s">
        <v>74</v>
      </c>
      <c r="E243" s="126" t="s">
        <v>1149</v>
      </c>
      <c r="F243" s="126" t="s">
        <v>1150</v>
      </c>
      <c r="J243" s="127">
        <f>BK243</f>
        <v>0</v>
      </c>
      <c r="L243" s="124"/>
      <c r="M243" s="128"/>
      <c r="N243" s="129"/>
      <c r="O243" s="129"/>
      <c r="P243" s="130">
        <f>SUM(P244:P249)</f>
        <v>80</v>
      </c>
      <c r="Q243" s="129"/>
      <c r="R243" s="130">
        <f>SUM(R244:R249)</f>
        <v>0</v>
      </c>
      <c r="S243" s="129"/>
      <c r="T243" s="131">
        <f>SUM(T244:T249)</f>
        <v>0</v>
      </c>
      <c r="AR243" s="125" t="s">
        <v>152</v>
      </c>
      <c r="AT243" s="132" t="s">
        <v>74</v>
      </c>
      <c r="AU243" s="132" t="s">
        <v>75</v>
      </c>
      <c r="AY243" s="125" t="s">
        <v>144</v>
      </c>
      <c r="BK243" s="133">
        <f>SUM(BK244:BK249)</f>
        <v>0</v>
      </c>
    </row>
    <row r="244" spans="1:65" s="2" customFormat="1" ht="24.2" customHeight="1">
      <c r="A244" s="31"/>
      <c r="B244" s="136"/>
      <c r="C244" s="137">
        <v>62</v>
      </c>
      <c r="D244" s="137" t="s">
        <v>147</v>
      </c>
      <c r="E244" s="138" t="s">
        <v>1151</v>
      </c>
      <c r="F244" s="139" t="s">
        <v>1152</v>
      </c>
      <c r="G244" s="140" t="s">
        <v>1153</v>
      </c>
      <c r="H244" s="141">
        <v>16</v>
      </c>
      <c r="I244" s="142"/>
      <c r="J244" s="142">
        <f>ROUND(I244*H244,2)</f>
        <v>0</v>
      </c>
      <c r="K244" s="139" t="s">
        <v>157</v>
      </c>
      <c r="L244" s="32"/>
      <c r="M244" s="143" t="s">
        <v>3</v>
      </c>
      <c r="N244" s="144" t="s">
        <v>46</v>
      </c>
      <c r="O244" s="145">
        <v>1</v>
      </c>
      <c r="P244" s="145">
        <f>O244*H244</f>
        <v>16</v>
      </c>
      <c r="Q244" s="145">
        <v>0</v>
      </c>
      <c r="R244" s="145">
        <f>Q244*H244</f>
        <v>0</v>
      </c>
      <c r="S244" s="145">
        <v>0</v>
      </c>
      <c r="T244" s="146">
        <f>S244*H244</f>
        <v>0</v>
      </c>
      <c r="U244" s="31"/>
      <c r="V244" s="31"/>
      <c r="W244" s="31"/>
      <c r="X244" s="31"/>
      <c r="Y244" s="31"/>
      <c r="Z244" s="31"/>
      <c r="AA244" s="31"/>
      <c r="AB244" s="31"/>
      <c r="AC244" s="31"/>
      <c r="AD244" s="31"/>
      <c r="AE244" s="31"/>
      <c r="AR244" s="147" t="s">
        <v>1154</v>
      </c>
      <c r="AT244" s="147" t="s">
        <v>147</v>
      </c>
      <c r="AU244" s="147" t="s">
        <v>83</v>
      </c>
      <c r="AY244" s="19" t="s">
        <v>144</v>
      </c>
      <c r="BE244" s="148">
        <f>IF(N244="základní",J244,0)</f>
        <v>0</v>
      </c>
      <c r="BF244" s="148">
        <f>IF(N244="snížená",J244,0)</f>
        <v>0</v>
      </c>
      <c r="BG244" s="148">
        <f>IF(N244="zákl. přenesená",J244,0)</f>
        <v>0</v>
      </c>
      <c r="BH244" s="148">
        <f>IF(N244="sníž. přenesená",J244,0)</f>
        <v>0</v>
      </c>
      <c r="BI244" s="148">
        <f>IF(N244="nulová",J244,0)</f>
        <v>0</v>
      </c>
      <c r="BJ244" s="19" t="s">
        <v>83</v>
      </c>
      <c r="BK244" s="148">
        <f>ROUND(I244*H244,2)</f>
        <v>0</v>
      </c>
      <c r="BL244" s="19" t="s">
        <v>1154</v>
      </c>
      <c r="BM244" s="147" t="s">
        <v>1440</v>
      </c>
    </row>
    <row r="245" spans="1:47" s="2" customFormat="1" ht="19.5">
      <c r="A245" s="31"/>
      <c r="B245" s="32"/>
      <c r="C245" s="31"/>
      <c r="D245" s="150" t="s">
        <v>270</v>
      </c>
      <c r="E245" s="31"/>
      <c r="F245" s="163" t="s">
        <v>1156</v>
      </c>
      <c r="G245" s="31"/>
      <c r="H245" s="31"/>
      <c r="I245" s="31"/>
      <c r="J245" s="31"/>
      <c r="K245" s="31"/>
      <c r="L245" s="32"/>
      <c r="M245" s="164"/>
      <c r="N245" s="165"/>
      <c r="O245" s="52"/>
      <c r="P245" s="52"/>
      <c r="Q245" s="52"/>
      <c r="R245" s="52"/>
      <c r="S245" s="52"/>
      <c r="T245" s="53"/>
      <c r="U245" s="31"/>
      <c r="V245" s="31"/>
      <c r="W245" s="31"/>
      <c r="X245" s="31"/>
      <c r="Y245" s="31"/>
      <c r="Z245" s="31"/>
      <c r="AA245" s="31"/>
      <c r="AB245" s="31"/>
      <c r="AC245" s="31"/>
      <c r="AD245" s="31"/>
      <c r="AE245" s="31"/>
      <c r="AT245" s="19" t="s">
        <v>270</v>
      </c>
      <c r="AU245" s="19" t="s">
        <v>83</v>
      </c>
    </row>
    <row r="246" spans="1:65" s="2" customFormat="1" ht="24.2" customHeight="1">
      <c r="A246" s="31"/>
      <c r="B246" s="136"/>
      <c r="C246" s="137">
        <v>53</v>
      </c>
      <c r="D246" s="137" t="s">
        <v>147</v>
      </c>
      <c r="E246" s="138" t="s">
        <v>1441</v>
      </c>
      <c r="F246" s="139" t="s">
        <v>1442</v>
      </c>
      <c r="G246" s="140" t="s">
        <v>1153</v>
      </c>
      <c r="H246" s="141">
        <v>48</v>
      </c>
      <c r="I246" s="142"/>
      <c r="J246" s="142">
        <f>ROUND(I246*H246,2)</f>
        <v>0</v>
      </c>
      <c r="K246" s="139" t="s">
        <v>157</v>
      </c>
      <c r="L246" s="32"/>
      <c r="M246" s="143" t="s">
        <v>3</v>
      </c>
      <c r="N246" s="144" t="s">
        <v>46</v>
      </c>
      <c r="O246" s="145">
        <v>1</v>
      </c>
      <c r="P246" s="145">
        <f>O246*H246</f>
        <v>48</v>
      </c>
      <c r="Q246" s="145">
        <v>0</v>
      </c>
      <c r="R246" s="145">
        <f>Q246*H246</f>
        <v>0</v>
      </c>
      <c r="S246" s="145">
        <v>0</v>
      </c>
      <c r="T246" s="146">
        <f>S246*H246</f>
        <v>0</v>
      </c>
      <c r="U246" s="31"/>
      <c r="V246" s="31"/>
      <c r="W246" s="31"/>
      <c r="X246" s="31"/>
      <c r="Y246" s="31"/>
      <c r="Z246" s="31"/>
      <c r="AA246" s="31"/>
      <c r="AB246" s="31"/>
      <c r="AC246" s="31"/>
      <c r="AD246" s="31"/>
      <c r="AE246" s="31"/>
      <c r="AR246" s="147" t="s">
        <v>1154</v>
      </c>
      <c r="AT246" s="147" t="s">
        <v>147</v>
      </c>
      <c r="AU246" s="147" t="s">
        <v>83</v>
      </c>
      <c r="AY246" s="19" t="s">
        <v>144</v>
      </c>
      <c r="BE246" s="148">
        <f>IF(N246="základní",J246,0)</f>
        <v>0</v>
      </c>
      <c r="BF246" s="148">
        <f>IF(N246="snížená",J246,0)</f>
        <v>0</v>
      </c>
      <c r="BG246" s="148">
        <f>IF(N246="zákl. přenesená",J246,0)</f>
        <v>0</v>
      </c>
      <c r="BH246" s="148">
        <f>IF(N246="sníž. přenesená",J246,0)</f>
        <v>0</v>
      </c>
      <c r="BI246" s="148">
        <f>IF(N246="nulová",J246,0)</f>
        <v>0</v>
      </c>
      <c r="BJ246" s="19" t="s">
        <v>83</v>
      </c>
      <c r="BK246" s="148">
        <f>ROUND(I246*H246,2)</f>
        <v>0</v>
      </c>
      <c r="BL246" s="19" t="s">
        <v>1154</v>
      </c>
      <c r="BM246" s="147" t="s">
        <v>1443</v>
      </c>
    </row>
    <row r="247" spans="1:47" s="2" customFormat="1" ht="29.25">
      <c r="A247" s="31"/>
      <c r="B247" s="32"/>
      <c r="C247" s="31"/>
      <c r="D247" s="150" t="s">
        <v>270</v>
      </c>
      <c r="E247" s="31"/>
      <c r="F247" s="163" t="s">
        <v>1444</v>
      </c>
      <c r="G247" s="31"/>
      <c r="H247" s="31"/>
      <c r="I247" s="31"/>
      <c r="J247" s="31"/>
      <c r="K247" s="31"/>
      <c r="L247" s="32"/>
      <c r="M247" s="164"/>
      <c r="N247" s="165"/>
      <c r="O247" s="52"/>
      <c r="P247" s="52"/>
      <c r="Q247" s="52"/>
      <c r="R247" s="52"/>
      <c r="S247" s="52"/>
      <c r="T247" s="53"/>
      <c r="U247" s="31"/>
      <c r="V247" s="31"/>
      <c r="W247" s="31"/>
      <c r="X247" s="31"/>
      <c r="Y247" s="31"/>
      <c r="Z247" s="31"/>
      <c r="AA247" s="31"/>
      <c r="AB247" s="31"/>
      <c r="AC247" s="31"/>
      <c r="AD247" s="31"/>
      <c r="AE247" s="31"/>
      <c r="AT247" s="19" t="s">
        <v>270</v>
      </c>
      <c r="AU247" s="19" t="s">
        <v>83</v>
      </c>
    </row>
    <row r="248" spans="1:65" s="2" customFormat="1" ht="24.2" customHeight="1">
      <c r="A248" s="31"/>
      <c r="B248" s="136"/>
      <c r="C248" s="137">
        <v>64</v>
      </c>
      <c r="D248" s="137" t="s">
        <v>147</v>
      </c>
      <c r="E248" s="138" t="s">
        <v>1445</v>
      </c>
      <c r="F248" s="139" t="s">
        <v>1446</v>
      </c>
      <c r="G248" s="140" t="s">
        <v>1153</v>
      </c>
      <c r="H248" s="141">
        <v>16</v>
      </c>
      <c r="I248" s="142"/>
      <c r="J248" s="142">
        <f>ROUND(I248*H248,2)</f>
        <v>0</v>
      </c>
      <c r="K248" s="139" t="s">
        <v>157</v>
      </c>
      <c r="L248" s="32"/>
      <c r="M248" s="143" t="s">
        <v>3</v>
      </c>
      <c r="N248" s="144" t="s">
        <v>46</v>
      </c>
      <c r="O248" s="145">
        <v>1</v>
      </c>
      <c r="P248" s="145">
        <f>O248*H248</f>
        <v>16</v>
      </c>
      <c r="Q248" s="145">
        <v>0</v>
      </c>
      <c r="R248" s="145">
        <f>Q248*H248</f>
        <v>0</v>
      </c>
      <c r="S248" s="145">
        <v>0</v>
      </c>
      <c r="T248" s="146">
        <f>S248*H248</f>
        <v>0</v>
      </c>
      <c r="U248" s="31"/>
      <c r="V248" s="31"/>
      <c r="W248" s="31"/>
      <c r="X248" s="31"/>
      <c r="Y248" s="31"/>
      <c r="Z248" s="31"/>
      <c r="AA248" s="31"/>
      <c r="AB248" s="31"/>
      <c r="AC248" s="31"/>
      <c r="AD248" s="31"/>
      <c r="AE248" s="31"/>
      <c r="AR248" s="147" t="s">
        <v>1154</v>
      </c>
      <c r="AT248" s="147" t="s">
        <v>147</v>
      </c>
      <c r="AU248" s="147" t="s">
        <v>83</v>
      </c>
      <c r="AY248" s="19" t="s">
        <v>144</v>
      </c>
      <c r="BE248" s="148">
        <f>IF(N248="základní",J248,0)</f>
        <v>0</v>
      </c>
      <c r="BF248" s="148">
        <f>IF(N248="snížená",J248,0)</f>
        <v>0</v>
      </c>
      <c r="BG248" s="148">
        <f>IF(N248="zákl. přenesená",J248,0)</f>
        <v>0</v>
      </c>
      <c r="BH248" s="148">
        <f>IF(N248="sníž. přenesená",J248,0)</f>
        <v>0</v>
      </c>
      <c r="BI248" s="148">
        <f>IF(N248="nulová",J248,0)</f>
        <v>0</v>
      </c>
      <c r="BJ248" s="19" t="s">
        <v>83</v>
      </c>
      <c r="BK248" s="148">
        <f>ROUND(I248*H248,2)</f>
        <v>0</v>
      </c>
      <c r="BL248" s="19" t="s">
        <v>1154</v>
      </c>
      <c r="BM248" s="147" t="s">
        <v>1447</v>
      </c>
    </row>
    <row r="249" spans="1:47" s="2" customFormat="1" ht="19.5">
      <c r="A249" s="31"/>
      <c r="B249" s="32"/>
      <c r="C249" s="31"/>
      <c r="D249" s="150" t="s">
        <v>270</v>
      </c>
      <c r="E249" s="31"/>
      <c r="F249" s="163" t="s">
        <v>1448</v>
      </c>
      <c r="G249" s="31"/>
      <c r="H249" s="31"/>
      <c r="I249" s="31"/>
      <c r="J249" s="31"/>
      <c r="K249" s="31"/>
      <c r="L249" s="32"/>
      <c r="M249" s="189"/>
      <c r="N249" s="190"/>
      <c r="O249" s="191"/>
      <c r="P249" s="191"/>
      <c r="Q249" s="191"/>
      <c r="R249" s="191"/>
      <c r="S249" s="191"/>
      <c r="T249" s="192"/>
      <c r="U249" s="31"/>
      <c r="V249" s="31"/>
      <c r="W249" s="31"/>
      <c r="X249" s="31"/>
      <c r="Y249" s="31"/>
      <c r="Z249" s="31"/>
      <c r="AA249" s="31"/>
      <c r="AB249" s="31"/>
      <c r="AC249" s="31"/>
      <c r="AD249" s="31"/>
      <c r="AE249" s="31"/>
      <c r="AT249" s="19" t="s">
        <v>270</v>
      </c>
      <c r="AU249" s="19" t="s">
        <v>83</v>
      </c>
    </row>
    <row r="250" spans="1:31" s="2" customFormat="1" ht="6.95" customHeight="1">
      <c r="A250" s="31"/>
      <c r="B250" s="41"/>
      <c r="C250" s="42"/>
      <c r="D250" s="42"/>
      <c r="E250" s="42"/>
      <c r="F250" s="42"/>
      <c r="G250" s="42"/>
      <c r="H250" s="42"/>
      <c r="I250" s="42"/>
      <c r="J250" s="42"/>
      <c r="K250" s="42"/>
      <c r="L250" s="32"/>
      <c r="M250" s="31"/>
      <c r="O250" s="31"/>
      <c r="P250" s="31"/>
      <c r="Q250" s="31"/>
      <c r="R250" s="31"/>
      <c r="S250" s="31"/>
      <c r="T250" s="31"/>
      <c r="U250" s="31"/>
      <c r="V250" s="31"/>
      <c r="W250" s="31"/>
      <c r="X250" s="31"/>
      <c r="Y250" s="31"/>
      <c r="Z250" s="31"/>
      <c r="AA250" s="31"/>
      <c r="AB250" s="31"/>
      <c r="AC250" s="31"/>
      <c r="AD250" s="31"/>
      <c r="AE250" s="31"/>
    </row>
  </sheetData>
  <autoFilter ref="C88:K249"/>
  <mergeCells count="9">
    <mergeCell ref="E50:H50"/>
    <mergeCell ref="E79:H79"/>
    <mergeCell ref="E81:H81"/>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3" manualBreakCount="3">
    <brk id="118" min="2" max="16383" man="1"/>
    <brk id="157" min="2" max="16383" man="1"/>
    <brk id="208" min="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164"/>
  <sheetViews>
    <sheetView showGridLines="0" view="pageBreakPreview" zoomScale="80" zoomScaleSheetLayoutView="80" workbookViewId="0" topLeftCell="A69">
      <selection activeCell="I91" sqref="I91:I16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01" t="s">
        <v>6</v>
      </c>
      <c r="M2" s="302"/>
      <c r="N2" s="302"/>
      <c r="O2" s="302"/>
      <c r="P2" s="302"/>
      <c r="Q2" s="302"/>
      <c r="R2" s="302"/>
      <c r="S2" s="302"/>
      <c r="T2" s="302"/>
      <c r="U2" s="302"/>
      <c r="V2" s="302"/>
      <c r="AT2" s="19" t="s">
        <v>97</v>
      </c>
    </row>
    <row r="3" spans="2:46" s="1" customFormat="1" ht="6.95" customHeight="1">
      <c r="B3" s="20"/>
      <c r="C3" s="21"/>
      <c r="D3" s="21"/>
      <c r="E3" s="21"/>
      <c r="F3" s="21"/>
      <c r="G3" s="21"/>
      <c r="H3" s="21"/>
      <c r="I3" s="21"/>
      <c r="J3" s="21"/>
      <c r="K3" s="21"/>
      <c r="L3" s="22"/>
      <c r="AT3" s="19" t="s">
        <v>85</v>
      </c>
    </row>
    <row r="4" spans="2:46" s="1" customFormat="1" ht="24.95" customHeight="1">
      <c r="B4" s="22"/>
      <c r="D4" s="23" t="s">
        <v>104</v>
      </c>
      <c r="L4" s="22"/>
      <c r="M4" s="88" t="s">
        <v>11</v>
      </c>
      <c r="AT4" s="19" t="s">
        <v>4</v>
      </c>
    </row>
    <row r="5" spans="2:12" s="1" customFormat="1" ht="6.95" customHeight="1">
      <c r="B5" s="22"/>
      <c r="L5" s="22"/>
    </row>
    <row r="6" spans="2:12" s="1" customFormat="1" ht="12" customHeight="1">
      <c r="B6" s="22"/>
      <c r="D6" s="28" t="s">
        <v>15</v>
      </c>
      <c r="L6" s="22"/>
    </row>
    <row r="7" spans="2:12" s="1" customFormat="1" ht="23.25" customHeight="1">
      <c r="B7" s="22"/>
      <c r="E7" s="335" t="str">
        <f>'Rekapitulace stavby'!K6</f>
        <v>Rekonstrukce lékařských pokojů, skladových a technických prostor Nemocnice Nymburk s.r.o.</v>
      </c>
      <c r="F7" s="336"/>
      <c r="G7" s="336"/>
      <c r="H7" s="336"/>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5" t="s">
        <v>1449</v>
      </c>
      <c r="F9" s="334"/>
      <c r="G9" s="334"/>
      <c r="H9" s="334"/>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10" t="str">
        <f>'Rekapitulace stavby'!E14</f>
        <v xml:space="preserve"> </v>
      </c>
      <c r="F18" s="310"/>
      <c r="G18" s="310"/>
      <c r="H18" s="310"/>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12" t="s">
        <v>40</v>
      </c>
      <c r="F27" s="312"/>
      <c r="G27" s="312"/>
      <c r="H27" s="312"/>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ROUND(J88,2)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45</v>
      </c>
      <c r="E33" s="28" t="s">
        <v>46</v>
      </c>
      <c r="F33" s="95">
        <f>ROUND((SUM(BE88:BE163)),2)</f>
        <v>0</v>
      </c>
      <c r="G33" s="31"/>
      <c r="H33" s="31"/>
      <c r="I33" s="96">
        <v>0.21</v>
      </c>
      <c r="J33" s="95">
        <f>ROUND(((SUM(BE88:BE163))*I33),2)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47</v>
      </c>
      <c r="F34" s="95">
        <f>ROUND((SUM(BF88:BF163)),2)</f>
        <v>0</v>
      </c>
      <c r="G34" s="31"/>
      <c r="H34" s="31"/>
      <c r="I34" s="96">
        <v>0.15</v>
      </c>
      <c r="J34" s="95">
        <f>ROUND(((SUM(BF88:BF163))*I34),2)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48</v>
      </c>
      <c r="F35" s="95">
        <f>ROUND((SUM(BG88:BG163)),2)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49</v>
      </c>
      <c r="F36" s="95">
        <f>ROUND((SUM(BH88:BH163)),2)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50</v>
      </c>
      <c r="F37" s="95">
        <f>ROUND((SUM(BI88:BI163)),2)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35" t="str">
        <f>E7</f>
        <v>Rekonstrukce lékařských pokojů, skladových a technických prostor Nemocnice Nymburk s.r.o.</v>
      </c>
      <c r="F48" s="336"/>
      <c r="G48" s="336"/>
      <c r="H48" s="336"/>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5" t="str">
        <f>E9</f>
        <v>05 - VZT</v>
      </c>
      <c r="F50" s="334"/>
      <c r="G50" s="334"/>
      <c r="H50" s="334"/>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73</v>
      </c>
      <c r="D59" s="31"/>
      <c r="E59" s="31"/>
      <c r="F59" s="31"/>
      <c r="G59" s="31"/>
      <c r="H59" s="31"/>
      <c r="I59" s="31"/>
      <c r="J59" s="65">
        <f>J88</f>
        <v>0</v>
      </c>
      <c r="K59" s="31"/>
      <c r="L59" s="89"/>
      <c r="S59" s="31"/>
      <c r="T59" s="31"/>
      <c r="U59" s="31"/>
      <c r="V59" s="31"/>
      <c r="W59" s="31"/>
      <c r="X59" s="31"/>
      <c r="Y59" s="31"/>
      <c r="Z59" s="31"/>
      <c r="AA59" s="31"/>
      <c r="AB59" s="31"/>
      <c r="AC59" s="31"/>
      <c r="AD59" s="31"/>
      <c r="AE59" s="31"/>
      <c r="AU59" s="19" t="s">
        <v>110</v>
      </c>
    </row>
    <row r="60" spans="2:12" s="9" customFormat="1" ht="24.95" customHeight="1">
      <c r="B60" s="106"/>
      <c r="D60" s="107" t="s">
        <v>111</v>
      </c>
      <c r="E60" s="108"/>
      <c r="F60" s="108"/>
      <c r="G60" s="108"/>
      <c r="H60" s="108"/>
      <c r="I60" s="108"/>
      <c r="J60" s="109">
        <f>J89</f>
        <v>0</v>
      </c>
      <c r="L60" s="106"/>
    </row>
    <row r="61" spans="2:12" s="10" customFormat="1" ht="19.9" customHeight="1">
      <c r="B61" s="110"/>
      <c r="D61" s="111" t="s">
        <v>112</v>
      </c>
      <c r="E61" s="112"/>
      <c r="F61" s="112"/>
      <c r="G61" s="112"/>
      <c r="H61" s="112"/>
      <c r="I61" s="112"/>
      <c r="J61" s="113">
        <f>J90</f>
        <v>0</v>
      </c>
      <c r="L61" s="110"/>
    </row>
    <row r="62" spans="2:12" s="10" customFormat="1" ht="19.9" customHeight="1">
      <c r="B62" s="110"/>
      <c r="D62" s="111" t="s">
        <v>114</v>
      </c>
      <c r="E62" s="112"/>
      <c r="F62" s="112"/>
      <c r="G62" s="112"/>
      <c r="H62" s="112"/>
      <c r="I62" s="112"/>
      <c r="J62" s="113">
        <f>J97</f>
        <v>0</v>
      </c>
      <c r="L62" s="110"/>
    </row>
    <row r="63" spans="2:12" s="10" customFormat="1" ht="19.9" customHeight="1">
      <c r="B63" s="110"/>
      <c r="D63" s="111" t="s">
        <v>115</v>
      </c>
      <c r="E63" s="112"/>
      <c r="F63" s="112"/>
      <c r="G63" s="112"/>
      <c r="H63" s="112"/>
      <c r="I63" s="112"/>
      <c r="J63" s="113">
        <f>J104</f>
        <v>0</v>
      </c>
      <c r="L63" s="110"/>
    </row>
    <row r="64" spans="2:12" s="10" customFormat="1" ht="19.9" customHeight="1">
      <c r="B64" s="110"/>
      <c r="D64" s="111" t="s">
        <v>116</v>
      </c>
      <c r="E64" s="112"/>
      <c r="F64" s="112"/>
      <c r="G64" s="112"/>
      <c r="H64" s="112"/>
      <c r="I64" s="112"/>
      <c r="J64" s="113">
        <f>J117</f>
        <v>0</v>
      </c>
      <c r="L64" s="110"/>
    </row>
    <row r="65" spans="2:12" s="9" customFormat="1" ht="24.95" customHeight="1">
      <c r="B65" s="106"/>
      <c r="D65" s="107" t="s">
        <v>117</v>
      </c>
      <c r="E65" s="108"/>
      <c r="F65" s="108"/>
      <c r="G65" s="108"/>
      <c r="H65" s="108"/>
      <c r="I65" s="108"/>
      <c r="J65" s="109">
        <f>J120</f>
        <v>0</v>
      </c>
      <c r="L65" s="106"/>
    </row>
    <row r="66" spans="2:12" s="10" customFormat="1" ht="19.9" customHeight="1">
      <c r="B66" s="110"/>
      <c r="D66" s="111" t="s">
        <v>1450</v>
      </c>
      <c r="E66" s="112"/>
      <c r="F66" s="112"/>
      <c r="G66" s="112"/>
      <c r="H66" s="112"/>
      <c r="I66" s="112"/>
      <c r="J66" s="113">
        <f>J121</f>
        <v>0</v>
      </c>
      <c r="L66" s="110"/>
    </row>
    <row r="67" spans="2:12" s="10" customFormat="1" ht="19.9" customHeight="1">
      <c r="B67" s="110"/>
      <c r="D67" s="111" t="s">
        <v>1451</v>
      </c>
      <c r="E67" s="112"/>
      <c r="F67" s="112"/>
      <c r="G67" s="112"/>
      <c r="H67" s="112"/>
      <c r="I67" s="112"/>
      <c r="J67" s="113">
        <f>J131</f>
        <v>0</v>
      </c>
      <c r="L67" s="110"/>
    </row>
    <row r="68" spans="2:12" s="9" customFormat="1" ht="24.95" customHeight="1">
      <c r="B68" s="106"/>
      <c r="D68" s="107" t="s">
        <v>878</v>
      </c>
      <c r="E68" s="108"/>
      <c r="F68" s="108"/>
      <c r="G68" s="108"/>
      <c r="H68" s="108"/>
      <c r="I68" s="108"/>
      <c r="J68" s="109">
        <f>J159</f>
        <v>0</v>
      </c>
      <c r="L68" s="106"/>
    </row>
    <row r="69" spans="1:31" s="2" customFormat="1" ht="21.75" customHeight="1">
      <c r="A69" s="31"/>
      <c r="B69" s="32"/>
      <c r="C69" s="31"/>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41"/>
      <c r="C70" s="42"/>
      <c r="D70" s="42"/>
      <c r="E70" s="42"/>
      <c r="F70" s="42"/>
      <c r="G70" s="42"/>
      <c r="H70" s="42"/>
      <c r="I70" s="42"/>
      <c r="J70" s="42"/>
      <c r="K70" s="42"/>
      <c r="L70" s="89"/>
      <c r="S70" s="31"/>
      <c r="T70" s="31"/>
      <c r="U70" s="31"/>
      <c r="V70" s="31"/>
      <c r="W70" s="31"/>
      <c r="X70" s="31"/>
      <c r="Y70" s="31"/>
      <c r="Z70" s="31"/>
      <c r="AA70" s="31"/>
      <c r="AB70" s="31"/>
      <c r="AC70" s="31"/>
      <c r="AD70" s="31"/>
      <c r="AE70" s="31"/>
    </row>
    <row r="74" spans="1:31" s="2" customFormat="1" ht="6.95" customHeight="1">
      <c r="A74" s="31"/>
      <c r="B74" s="43"/>
      <c r="C74" s="44"/>
      <c r="D74" s="44"/>
      <c r="E74" s="44"/>
      <c r="F74" s="44"/>
      <c r="G74" s="44"/>
      <c r="H74" s="44"/>
      <c r="I74" s="44"/>
      <c r="J74" s="44"/>
      <c r="K74" s="44"/>
      <c r="L74" s="89"/>
      <c r="S74" s="31"/>
      <c r="T74" s="31"/>
      <c r="U74" s="31"/>
      <c r="V74" s="31"/>
      <c r="W74" s="31"/>
      <c r="X74" s="31"/>
      <c r="Y74" s="31"/>
      <c r="Z74" s="31"/>
      <c r="AA74" s="31"/>
      <c r="AB74" s="31"/>
      <c r="AC74" s="31"/>
      <c r="AD74" s="31"/>
      <c r="AE74" s="31"/>
    </row>
    <row r="75" spans="1:31" s="2" customFormat="1" ht="24.95" customHeight="1">
      <c r="A75" s="31"/>
      <c r="B75" s="32"/>
      <c r="C75" s="23" t="s">
        <v>129</v>
      </c>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5" customHeight="1">
      <c r="A76" s="31"/>
      <c r="B76" s="32"/>
      <c r="C76" s="31"/>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12" customHeight="1">
      <c r="A77" s="31"/>
      <c r="B77" s="32"/>
      <c r="C77" s="28" t="s">
        <v>15</v>
      </c>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3.25" customHeight="1">
      <c r="A78" s="31"/>
      <c r="B78" s="32"/>
      <c r="C78" s="31"/>
      <c r="D78" s="31"/>
      <c r="E78" s="335" t="str">
        <f>E7</f>
        <v>Rekonstrukce lékařských pokojů, skladových a technických prostor Nemocnice Nymburk s.r.o.</v>
      </c>
      <c r="F78" s="336"/>
      <c r="G78" s="336"/>
      <c r="H78" s="336"/>
      <c r="I78" s="31"/>
      <c r="J78" s="31"/>
      <c r="K78" s="31"/>
      <c r="L78" s="89"/>
      <c r="S78" s="31"/>
      <c r="T78" s="31"/>
      <c r="U78" s="31"/>
      <c r="V78" s="31"/>
      <c r="W78" s="31"/>
      <c r="X78" s="31"/>
      <c r="Y78" s="31"/>
      <c r="Z78" s="31"/>
      <c r="AA78" s="31"/>
      <c r="AB78" s="31"/>
      <c r="AC78" s="31"/>
      <c r="AD78" s="31"/>
      <c r="AE78" s="31"/>
    </row>
    <row r="79" spans="1:31" s="2" customFormat="1" ht="12" customHeight="1">
      <c r="A79" s="31"/>
      <c r="B79" s="32"/>
      <c r="C79" s="28" t="s">
        <v>105</v>
      </c>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16.5" customHeight="1">
      <c r="A80" s="31"/>
      <c r="B80" s="32"/>
      <c r="C80" s="31"/>
      <c r="D80" s="31"/>
      <c r="E80" s="325" t="str">
        <f>E9</f>
        <v>05 - VZT</v>
      </c>
      <c r="F80" s="334"/>
      <c r="G80" s="334"/>
      <c r="H80" s="334"/>
      <c r="I80" s="31"/>
      <c r="J80" s="31"/>
      <c r="K80" s="31"/>
      <c r="L80" s="89"/>
      <c r="S80" s="31"/>
      <c r="T80" s="31"/>
      <c r="U80" s="31"/>
      <c r="V80" s="31"/>
      <c r="W80" s="31"/>
      <c r="X80" s="31"/>
      <c r="Y80" s="31"/>
      <c r="Z80" s="31"/>
      <c r="AA80" s="31"/>
      <c r="AB80" s="31"/>
      <c r="AC80" s="31"/>
      <c r="AD80" s="31"/>
      <c r="AE80" s="31"/>
    </row>
    <row r="81" spans="1:31" s="2" customFormat="1" ht="6.95" customHeight="1">
      <c r="A81" s="31"/>
      <c r="B81" s="32"/>
      <c r="C81" s="31"/>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21</v>
      </c>
      <c r="D82" s="31"/>
      <c r="E82" s="31"/>
      <c r="F82" s="26" t="str">
        <f>F12</f>
        <v>Nymburk</v>
      </c>
      <c r="G82" s="31"/>
      <c r="H82" s="31"/>
      <c r="I82" s="28" t="s">
        <v>23</v>
      </c>
      <c r="J82" s="49" t="str">
        <f>IF(J12="","",J12)</f>
        <v>1. 9. 2020</v>
      </c>
      <c r="K82" s="31"/>
      <c r="L82" s="89"/>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5.7" customHeight="1">
      <c r="A84" s="31"/>
      <c r="B84" s="32"/>
      <c r="C84" s="28" t="s">
        <v>25</v>
      </c>
      <c r="D84" s="31"/>
      <c r="E84" s="31"/>
      <c r="F84" s="26" t="str">
        <f>E15</f>
        <v>Nemocnice Nymburk s.r.o.</v>
      </c>
      <c r="G84" s="31"/>
      <c r="H84" s="31"/>
      <c r="I84" s="28" t="s">
        <v>33</v>
      </c>
      <c r="J84" s="29" t="str">
        <f>E21</f>
        <v>Ing. arch. Pavel Petrák</v>
      </c>
      <c r="K84" s="31"/>
      <c r="L84" s="89"/>
      <c r="S84" s="31"/>
      <c r="T84" s="31"/>
      <c r="U84" s="31"/>
      <c r="V84" s="31"/>
      <c r="W84" s="31"/>
      <c r="X84" s="31"/>
      <c r="Y84" s="31"/>
      <c r="Z84" s="31"/>
      <c r="AA84" s="31"/>
      <c r="AB84" s="31"/>
      <c r="AC84" s="31"/>
      <c r="AD84" s="31"/>
      <c r="AE84" s="31"/>
    </row>
    <row r="85" spans="1:31" s="2" customFormat="1" ht="15.2" customHeight="1">
      <c r="A85" s="31"/>
      <c r="B85" s="32"/>
      <c r="C85" s="28" t="s">
        <v>31</v>
      </c>
      <c r="D85" s="31"/>
      <c r="E85" s="31"/>
      <c r="F85" s="26" t="str">
        <f>IF(E18="","",E18)</f>
        <v xml:space="preserve"> </v>
      </c>
      <c r="G85" s="31"/>
      <c r="H85" s="31"/>
      <c r="I85" s="28" t="s">
        <v>38</v>
      </c>
      <c r="J85" s="29" t="str">
        <f>E24</f>
        <v xml:space="preserve"> </v>
      </c>
      <c r="K85" s="31"/>
      <c r="L85" s="89"/>
      <c r="S85" s="31"/>
      <c r="T85" s="31"/>
      <c r="U85" s="31"/>
      <c r="V85" s="31"/>
      <c r="W85" s="31"/>
      <c r="X85" s="31"/>
      <c r="Y85" s="31"/>
      <c r="Z85" s="31"/>
      <c r="AA85" s="31"/>
      <c r="AB85" s="31"/>
      <c r="AC85" s="31"/>
      <c r="AD85" s="31"/>
      <c r="AE85" s="31"/>
    </row>
    <row r="86" spans="1:31" s="2" customFormat="1" ht="10.35"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11" customFormat="1" ht="29.25" customHeight="1">
      <c r="A87" s="114"/>
      <c r="B87" s="115"/>
      <c r="C87" s="116" t="s">
        <v>130</v>
      </c>
      <c r="D87" s="117" t="s">
        <v>60</v>
      </c>
      <c r="E87" s="117" t="s">
        <v>56</v>
      </c>
      <c r="F87" s="117" t="s">
        <v>57</v>
      </c>
      <c r="G87" s="117" t="s">
        <v>131</v>
      </c>
      <c r="H87" s="117" t="s">
        <v>132</v>
      </c>
      <c r="I87" s="117" t="s">
        <v>133</v>
      </c>
      <c r="J87" s="117" t="s">
        <v>109</v>
      </c>
      <c r="K87" s="118" t="s">
        <v>134</v>
      </c>
      <c r="L87" s="119"/>
      <c r="M87" s="56" t="s">
        <v>3</v>
      </c>
      <c r="N87" s="57" t="s">
        <v>45</v>
      </c>
      <c r="O87" s="57" t="s">
        <v>135</v>
      </c>
      <c r="P87" s="57" t="s">
        <v>136</v>
      </c>
      <c r="Q87" s="57" t="s">
        <v>137</v>
      </c>
      <c r="R87" s="57" t="s">
        <v>138</v>
      </c>
      <c r="S87" s="57" t="s">
        <v>139</v>
      </c>
      <c r="T87" s="58" t="s">
        <v>140</v>
      </c>
      <c r="U87" s="114"/>
      <c r="V87" s="114"/>
      <c r="W87" s="114"/>
      <c r="X87" s="114"/>
      <c r="Y87" s="114"/>
      <c r="Z87" s="114"/>
      <c r="AA87" s="114"/>
      <c r="AB87" s="114"/>
      <c r="AC87" s="114"/>
      <c r="AD87" s="114"/>
      <c r="AE87" s="114"/>
    </row>
    <row r="88" spans="1:63" s="2" customFormat="1" ht="22.9" customHeight="1">
      <c r="A88" s="31"/>
      <c r="B88" s="32"/>
      <c r="C88" s="63" t="s">
        <v>141</v>
      </c>
      <c r="D88" s="31"/>
      <c r="E88" s="31"/>
      <c r="F88" s="31"/>
      <c r="G88" s="31"/>
      <c r="H88" s="31"/>
      <c r="I88" s="31"/>
      <c r="J88" s="120">
        <f>BK88</f>
        <v>0</v>
      </c>
      <c r="K88" s="31"/>
      <c r="L88" s="32"/>
      <c r="M88" s="59"/>
      <c r="N88" s="50"/>
      <c r="O88" s="60"/>
      <c r="P88" s="121">
        <f>P89+P120+P159</f>
        <v>43.991620019230766</v>
      </c>
      <c r="Q88" s="60"/>
      <c r="R88" s="121">
        <f>R89+R120+R159</f>
        <v>0.167550125</v>
      </c>
      <c r="S88" s="60"/>
      <c r="T88" s="122">
        <f>T89+T120+T159</f>
        <v>0.064</v>
      </c>
      <c r="U88" s="31"/>
      <c r="V88" s="31"/>
      <c r="W88" s="31"/>
      <c r="X88" s="31"/>
      <c r="Y88" s="31"/>
      <c r="Z88" s="31"/>
      <c r="AA88" s="31"/>
      <c r="AB88" s="31"/>
      <c r="AC88" s="31"/>
      <c r="AD88" s="31"/>
      <c r="AE88" s="31"/>
      <c r="AT88" s="19" t="s">
        <v>74</v>
      </c>
      <c r="AU88" s="19" t="s">
        <v>110</v>
      </c>
      <c r="BK88" s="123">
        <f>BK89+BK120+BK159</f>
        <v>0</v>
      </c>
    </row>
    <row r="89" spans="2:63" s="12" customFormat="1" ht="25.9" customHeight="1">
      <c r="B89" s="124"/>
      <c r="D89" s="125" t="s">
        <v>74</v>
      </c>
      <c r="E89" s="126" t="s">
        <v>142</v>
      </c>
      <c r="F89" s="126" t="s">
        <v>143</v>
      </c>
      <c r="J89" s="127">
        <f>BK89</f>
        <v>0</v>
      </c>
      <c r="L89" s="124"/>
      <c r="M89" s="128"/>
      <c r="N89" s="129"/>
      <c r="O89" s="129"/>
      <c r="P89" s="130">
        <f>P90+P97+P104+P117</f>
        <v>6.07691076923077</v>
      </c>
      <c r="Q89" s="129"/>
      <c r="R89" s="130">
        <f>R90+R97+R104+R117</f>
        <v>0.14512999999999998</v>
      </c>
      <c r="S89" s="129"/>
      <c r="T89" s="131">
        <f>T90+T97+T104+T117</f>
        <v>0.064</v>
      </c>
      <c r="AR89" s="125" t="s">
        <v>83</v>
      </c>
      <c r="AT89" s="132" t="s">
        <v>74</v>
      </c>
      <c r="AU89" s="132" t="s">
        <v>75</v>
      </c>
      <c r="AY89" s="125" t="s">
        <v>144</v>
      </c>
      <c r="BK89" s="133">
        <f>BK90+BK97+BK104+BK117</f>
        <v>0</v>
      </c>
    </row>
    <row r="90" spans="2:63" s="12" customFormat="1" ht="22.9" customHeight="1">
      <c r="B90" s="124"/>
      <c r="D90" s="125" t="s">
        <v>74</v>
      </c>
      <c r="E90" s="134" t="s">
        <v>145</v>
      </c>
      <c r="F90" s="134" t="s">
        <v>146</v>
      </c>
      <c r="J90" s="135">
        <f>BK90</f>
        <v>0</v>
      </c>
      <c r="L90" s="124"/>
      <c r="M90" s="128"/>
      <c r="N90" s="129"/>
      <c r="O90" s="129"/>
      <c r="P90" s="130">
        <f>SUM(P91:P96)</f>
        <v>2.3129999999999997</v>
      </c>
      <c r="Q90" s="129"/>
      <c r="R90" s="130">
        <f>SUM(R91:R96)</f>
        <v>0.14512999999999998</v>
      </c>
      <c r="S90" s="129"/>
      <c r="T90" s="131">
        <f>SUM(T91:T96)</f>
        <v>0</v>
      </c>
      <c r="AR90" s="125" t="s">
        <v>83</v>
      </c>
      <c r="AT90" s="132" t="s">
        <v>74</v>
      </c>
      <c r="AU90" s="132" t="s">
        <v>83</v>
      </c>
      <c r="AY90" s="125" t="s">
        <v>144</v>
      </c>
      <c r="BK90" s="133">
        <f>SUM(BK91:BK96)</f>
        <v>0</v>
      </c>
    </row>
    <row r="91" spans="1:65" s="2" customFormat="1" ht="24.2" customHeight="1">
      <c r="A91" s="31"/>
      <c r="B91" s="136"/>
      <c r="C91" s="137" t="s">
        <v>83</v>
      </c>
      <c r="D91" s="137" t="s">
        <v>147</v>
      </c>
      <c r="E91" s="138" t="s">
        <v>881</v>
      </c>
      <c r="F91" s="139" t="s">
        <v>882</v>
      </c>
      <c r="G91" s="140" t="s">
        <v>156</v>
      </c>
      <c r="H91" s="141">
        <f>H93</f>
        <v>7</v>
      </c>
      <c r="I91" s="142"/>
      <c r="J91" s="142">
        <f>ROUND(I91*H91,2)</f>
        <v>0</v>
      </c>
      <c r="K91" s="139" t="s">
        <v>157</v>
      </c>
      <c r="L91" s="32"/>
      <c r="M91" s="143" t="s">
        <v>3</v>
      </c>
      <c r="N91" s="144" t="s">
        <v>46</v>
      </c>
      <c r="O91" s="145">
        <v>0.195</v>
      </c>
      <c r="P91" s="145">
        <f>O91*H91</f>
        <v>1.365</v>
      </c>
      <c r="Q91" s="145">
        <v>0.01262</v>
      </c>
      <c r="R91" s="145">
        <f>Q91*H91</f>
        <v>0.08834</v>
      </c>
      <c r="S91" s="145">
        <v>0</v>
      </c>
      <c r="T91" s="146">
        <f>S91*H91</f>
        <v>0</v>
      </c>
      <c r="U91" s="31"/>
      <c r="V91" s="31"/>
      <c r="W91" s="31"/>
      <c r="X91" s="31"/>
      <c r="Y91" s="31"/>
      <c r="Z91" s="31"/>
      <c r="AA91" s="31"/>
      <c r="AB91" s="31"/>
      <c r="AC91" s="31"/>
      <c r="AD91" s="31"/>
      <c r="AE91" s="31"/>
      <c r="AR91" s="147" t="s">
        <v>152</v>
      </c>
      <c r="AT91" s="147" t="s">
        <v>147</v>
      </c>
      <c r="AU91" s="147" t="s">
        <v>85</v>
      </c>
      <c r="AY91" s="19" t="s">
        <v>144</v>
      </c>
      <c r="BE91" s="148">
        <f>IF(N91="základní",J91,0)</f>
        <v>0</v>
      </c>
      <c r="BF91" s="148">
        <f>IF(N91="snížená",J91,0)</f>
        <v>0</v>
      </c>
      <c r="BG91" s="148">
        <f>IF(N91="zákl. přenesená",J91,0)</f>
        <v>0</v>
      </c>
      <c r="BH91" s="148">
        <f>IF(N91="sníž. přenesená",J91,0)</f>
        <v>0</v>
      </c>
      <c r="BI91" s="148">
        <f>IF(N91="nulová",J91,0)</f>
        <v>0</v>
      </c>
      <c r="BJ91" s="19" t="s">
        <v>83</v>
      </c>
      <c r="BK91" s="148">
        <f>ROUND(I91*H91,2)</f>
        <v>0</v>
      </c>
      <c r="BL91" s="19" t="s">
        <v>152</v>
      </c>
      <c r="BM91" s="147" t="s">
        <v>1452</v>
      </c>
    </row>
    <row r="92" spans="2:51" s="13" customFormat="1" ht="12">
      <c r="B92" s="149"/>
      <c r="D92" s="150" t="s">
        <v>154</v>
      </c>
      <c r="E92" s="151" t="s">
        <v>3</v>
      </c>
      <c r="F92" s="152" t="s">
        <v>216</v>
      </c>
      <c r="H92" s="151" t="s">
        <v>3</v>
      </c>
      <c r="L92" s="149"/>
      <c r="M92" s="153"/>
      <c r="N92" s="154"/>
      <c r="O92" s="154"/>
      <c r="P92" s="154"/>
      <c r="Q92" s="154"/>
      <c r="R92" s="154"/>
      <c r="S92" s="154"/>
      <c r="T92" s="155"/>
      <c r="AT92" s="151" t="s">
        <v>154</v>
      </c>
      <c r="AU92" s="151" t="s">
        <v>85</v>
      </c>
      <c r="AV92" s="13" t="s">
        <v>83</v>
      </c>
      <c r="AW92" s="13" t="s">
        <v>37</v>
      </c>
      <c r="AX92" s="13" t="s">
        <v>75</v>
      </c>
      <c r="AY92" s="151" t="s">
        <v>144</v>
      </c>
    </row>
    <row r="93" spans="2:51" s="14" customFormat="1" ht="12">
      <c r="B93" s="156"/>
      <c r="D93" s="150" t="s">
        <v>154</v>
      </c>
      <c r="E93" s="157" t="s">
        <v>3</v>
      </c>
      <c r="F93" s="158" t="str">
        <f>F100</f>
        <v>6+1</v>
      </c>
      <c r="H93" s="159">
        <f>H100</f>
        <v>7</v>
      </c>
      <c r="L93" s="156"/>
      <c r="M93" s="160"/>
      <c r="N93" s="161"/>
      <c r="O93" s="161"/>
      <c r="P93" s="161"/>
      <c r="Q93" s="161"/>
      <c r="R93" s="161"/>
      <c r="S93" s="161"/>
      <c r="T93" s="162"/>
      <c r="AT93" s="157" t="s">
        <v>154</v>
      </c>
      <c r="AU93" s="157" t="s">
        <v>85</v>
      </c>
      <c r="AV93" s="14" t="s">
        <v>85</v>
      </c>
      <c r="AW93" s="14" t="s">
        <v>37</v>
      </c>
      <c r="AX93" s="14" t="s">
        <v>83</v>
      </c>
      <c r="AY93" s="157" t="s">
        <v>144</v>
      </c>
    </row>
    <row r="94" spans="1:65" s="2" customFormat="1" ht="37.9" customHeight="1">
      <c r="A94" s="31"/>
      <c r="B94" s="136"/>
      <c r="C94" s="137" t="s">
        <v>85</v>
      </c>
      <c r="D94" s="137" t="s">
        <v>147</v>
      </c>
      <c r="E94" s="138" t="s">
        <v>884</v>
      </c>
      <c r="F94" s="139" t="s">
        <v>885</v>
      </c>
      <c r="G94" s="140" t="s">
        <v>156</v>
      </c>
      <c r="H94" s="141">
        <v>3</v>
      </c>
      <c r="I94" s="142"/>
      <c r="J94" s="142">
        <f>ROUND(I94*H94,2)</f>
        <v>0</v>
      </c>
      <c r="K94" s="139" t="s">
        <v>157</v>
      </c>
      <c r="L94" s="32"/>
      <c r="M94" s="143" t="s">
        <v>3</v>
      </c>
      <c r="N94" s="144" t="s">
        <v>46</v>
      </c>
      <c r="O94" s="145">
        <v>0.316</v>
      </c>
      <c r="P94" s="145">
        <f>O94*H94</f>
        <v>0.948</v>
      </c>
      <c r="Q94" s="145">
        <v>0.01893</v>
      </c>
      <c r="R94" s="145">
        <f>Q94*H94</f>
        <v>0.05678999999999999</v>
      </c>
      <c r="S94" s="145">
        <v>0</v>
      </c>
      <c r="T94" s="146">
        <f>S94*H94</f>
        <v>0</v>
      </c>
      <c r="U94" s="31"/>
      <c r="V94" s="31"/>
      <c r="W94" s="31"/>
      <c r="X94" s="31"/>
      <c r="Y94" s="31"/>
      <c r="Z94" s="31"/>
      <c r="AA94" s="31"/>
      <c r="AB94" s="31"/>
      <c r="AC94" s="31"/>
      <c r="AD94" s="31"/>
      <c r="AE94" s="31"/>
      <c r="AR94" s="147" t="s">
        <v>152</v>
      </c>
      <c r="AT94" s="147" t="s">
        <v>147</v>
      </c>
      <c r="AU94" s="147" t="s">
        <v>85</v>
      </c>
      <c r="AY94" s="19" t="s">
        <v>144</v>
      </c>
      <c r="BE94" s="148">
        <f>IF(N94="základní",J94,0)</f>
        <v>0</v>
      </c>
      <c r="BF94" s="148">
        <f>IF(N94="snížená",J94,0)</f>
        <v>0</v>
      </c>
      <c r="BG94" s="148">
        <f>IF(N94="zákl. přenesená",J94,0)</f>
        <v>0</v>
      </c>
      <c r="BH94" s="148">
        <f>IF(N94="sníž. přenesená",J94,0)</f>
        <v>0</v>
      </c>
      <c r="BI94" s="148">
        <f>IF(N94="nulová",J94,0)</f>
        <v>0</v>
      </c>
      <c r="BJ94" s="19" t="s">
        <v>83</v>
      </c>
      <c r="BK94" s="148">
        <f>ROUND(I94*H94,2)</f>
        <v>0</v>
      </c>
      <c r="BL94" s="19" t="s">
        <v>152</v>
      </c>
      <c r="BM94" s="147" t="s">
        <v>1262</v>
      </c>
    </row>
    <row r="95" spans="2:51" s="13" customFormat="1" ht="12">
      <c r="B95" s="149"/>
      <c r="D95" s="150" t="s">
        <v>154</v>
      </c>
      <c r="E95" s="151" t="s">
        <v>3</v>
      </c>
      <c r="F95" s="152" t="s">
        <v>216</v>
      </c>
      <c r="H95" s="151" t="s">
        <v>3</v>
      </c>
      <c r="L95" s="149"/>
      <c r="M95" s="153"/>
      <c r="N95" s="154"/>
      <c r="O95" s="154"/>
      <c r="P95" s="154"/>
      <c r="Q95" s="154"/>
      <c r="R95" s="154"/>
      <c r="S95" s="154"/>
      <c r="T95" s="155"/>
      <c r="AT95" s="151" t="s">
        <v>154</v>
      </c>
      <c r="AU95" s="151" t="s">
        <v>85</v>
      </c>
      <c r="AV95" s="13" t="s">
        <v>83</v>
      </c>
      <c r="AW95" s="13" t="s">
        <v>37</v>
      </c>
      <c r="AX95" s="13" t="s">
        <v>75</v>
      </c>
      <c r="AY95" s="151" t="s">
        <v>144</v>
      </c>
    </row>
    <row r="96" spans="2:51" s="14" customFormat="1" ht="12">
      <c r="B96" s="156"/>
      <c r="D96" s="150" t="s">
        <v>154</v>
      </c>
      <c r="E96" s="157" t="s">
        <v>3</v>
      </c>
      <c r="F96" s="158" t="s">
        <v>145</v>
      </c>
      <c r="H96" s="159">
        <v>3</v>
      </c>
      <c r="L96" s="156"/>
      <c r="M96" s="160"/>
      <c r="N96" s="161"/>
      <c r="O96" s="161"/>
      <c r="P96" s="161"/>
      <c r="Q96" s="161"/>
      <c r="R96" s="161"/>
      <c r="S96" s="161"/>
      <c r="T96" s="162"/>
      <c r="AT96" s="157" t="s">
        <v>154</v>
      </c>
      <c r="AU96" s="157" t="s">
        <v>85</v>
      </c>
      <c r="AV96" s="14" t="s">
        <v>85</v>
      </c>
      <c r="AW96" s="14" t="s">
        <v>37</v>
      </c>
      <c r="AX96" s="14" t="s">
        <v>83</v>
      </c>
      <c r="AY96" s="157" t="s">
        <v>144</v>
      </c>
    </row>
    <row r="97" spans="2:63" s="12" customFormat="1" ht="22.9" customHeight="1">
      <c r="B97" s="124"/>
      <c r="D97" s="125" t="s">
        <v>74</v>
      </c>
      <c r="E97" s="134" t="s">
        <v>188</v>
      </c>
      <c r="F97" s="134" t="s">
        <v>278</v>
      </c>
      <c r="J97" s="135">
        <f>BK97</f>
        <v>0</v>
      </c>
      <c r="L97" s="124"/>
      <c r="M97" s="128"/>
      <c r="N97" s="129"/>
      <c r="O97" s="129"/>
      <c r="P97" s="130">
        <f>SUM(P98:P103)</f>
        <v>2.962</v>
      </c>
      <c r="Q97" s="129"/>
      <c r="R97" s="130">
        <f>SUM(R98:R103)</f>
        <v>0</v>
      </c>
      <c r="S97" s="129"/>
      <c r="T97" s="131">
        <f>SUM(T98:T103)</f>
        <v>0.064</v>
      </c>
      <c r="AR97" s="125" t="s">
        <v>83</v>
      </c>
      <c r="AT97" s="132" t="s">
        <v>74</v>
      </c>
      <c r="AU97" s="132" t="s">
        <v>83</v>
      </c>
      <c r="AY97" s="125" t="s">
        <v>144</v>
      </c>
      <c r="BK97" s="133">
        <f>SUM(BK98:BK103)</f>
        <v>0</v>
      </c>
    </row>
    <row r="98" spans="1:65" s="2" customFormat="1" ht="49.15" customHeight="1">
      <c r="A98" s="31"/>
      <c r="B98" s="136"/>
      <c r="C98" s="137" t="s">
        <v>145</v>
      </c>
      <c r="D98" s="137" t="s">
        <v>147</v>
      </c>
      <c r="E98" s="138" t="s">
        <v>934</v>
      </c>
      <c r="F98" s="139" t="s">
        <v>935</v>
      </c>
      <c r="G98" s="140" t="s">
        <v>156</v>
      </c>
      <c r="H98" s="141">
        <f>H100</f>
        <v>7</v>
      </c>
      <c r="I98" s="142"/>
      <c r="J98" s="142">
        <f>ROUND(I98*H98,2)</f>
        <v>0</v>
      </c>
      <c r="K98" s="139" t="s">
        <v>157</v>
      </c>
      <c r="L98" s="32"/>
      <c r="M98" s="143" t="s">
        <v>3</v>
      </c>
      <c r="N98" s="144" t="s">
        <v>46</v>
      </c>
      <c r="O98" s="145">
        <v>0.16</v>
      </c>
      <c r="P98" s="145">
        <f>O98*H98</f>
        <v>1.12</v>
      </c>
      <c r="Q98" s="145">
        <v>0</v>
      </c>
      <c r="R98" s="145">
        <f>Q98*H98</f>
        <v>0</v>
      </c>
      <c r="S98" s="145">
        <v>0.004</v>
      </c>
      <c r="T98" s="146">
        <f>S98*H98</f>
        <v>0.028</v>
      </c>
      <c r="U98" s="31"/>
      <c r="V98" s="31"/>
      <c r="W98" s="31"/>
      <c r="X98" s="31"/>
      <c r="Y98" s="31"/>
      <c r="Z98" s="31"/>
      <c r="AA98" s="31"/>
      <c r="AB98" s="31"/>
      <c r="AC98" s="31"/>
      <c r="AD98" s="31"/>
      <c r="AE98" s="31"/>
      <c r="AR98" s="147" t="s">
        <v>152</v>
      </c>
      <c r="AT98" s="147" t="s">
        <v>147</v>
      </c>
      <c r="AU98" s="147" t="s">
        <v>85</v>
      </c>
      <c r="AY98" s="19" t="s">
        <v>144</v>
      </c>
      <c r="BE98" s="148">
        <f>IF(N98="základní",J98,0)</f>
        <v>0</v>
      </c>
      <c r="BF98" s="148">
        <f>IF(N98="snížená",J98,0)</f>
        <v>0</v>
      </c>
      <c r="BG98" s="148">
        <f>IF(N98="zákl. přenesená",J98,0)</f>
        <v>0</v>
      </c>
      <c r="BH98" s="148">
        <f>IF(N98="sníž. přenesená",J98,0)</f>
        <v>0</v>
      </c>
      <c r="BI98" s="148">
        <f>IF(N98="nulová",J98,0)</f>
        <v>0</v>
      </c>
      <c r="BJ98" s="19" t="s">
        <v>83</v>
      </c>
      <c r="BK98" s="148">
        <f>ROUND(I98*H98,2)</f>
        <v>0</v>
      </c>
      <c r="BL98" s="19" t="s">
        <v>152</v>
      </c>
      <c r="BM98" s="147" t="s">
        <v>1453</v>
      </c>
    </row>
    <row r="99" spans="2:51" s="13" customFormat="1" ht="12">
      <c r="B99" s="149"/>
      <c r="D99" s="150" t="s">
        <v>154</v>
      </c>
      <c r="E99" s="151" t="s">
        <v>3</v>
      </c>
      <c r="F99" s="152" t="s">
        <v>1454</v>
      </c>
      <c r="H99" s="151" t="s">
        <v>3</v>
      </c>
      <c r="L99" s="149"/>
      <c r="M99" s="153"/>
      <c r="N99" s="154"/>
      <c r="O99" s="154"/>
      <c r="P99" s="154"/>
      <c r="Q99" s="154"/>
      <c r="R99" s="154"/>
      <c r="S99" s="154"/>
      <c r="T99" s="155"/>
      <c r="AT99" s="151" t="s">
        <v>154</v>
      </c>
      <c r="AU99" s="151" t="s">
        <v>85</v>
      </c>
      <c r="AV99" s="13" t="s">
        <v>83</v>
      </c>
      <c r="AW99" s="13" t="s">
        <v>37</v>
      </c>
      <c r="AX99" s="13" t="s">
        <v>75</v>
      </c>
      <c r="AY99" s="151" t="s">
        <v>144</v>
      </c>
    </row>
    <row r="100" spans="2:51" s="14" customFormat="1" ht="12">
      <c r="B100" s="156"/>
      <c r="D100" s="150" t="s">
        <v>154</v>
      </c>
      <c r="E100" s="157" t="s">
        <v>3</v>
      </c>
      <c r="F100" s="158" t="s">
        <v>1787</v>
      </c>
      <c r="H100" s="159">
        <v>7</v>
      </c>
      <c r="L100" s="156"/>
      <c r="M100" s="160"/>
      <c r="N100" s="161"/>
      <c r="O100" s="161"/>
      <c r="P100" s="161"/>
      <c r="Q100" s="161"/>
      <c r="R100" s="161"/>
      <c r="S100" s="161"/>
      <c r="T100" s="162"/>
      <c r="AT100" s="157" t="s">
        <v>154</v>
      </c>
      <c r="AU100" s="157" t="s">
        <v>85</v>
      </c>
      <c r="AV100" s="14" t="s">
        <v>85</v>
      </c>
      <c r="AW100" s="14" t="s">
        <v>37</v>
      </c>
      <c r="AX100" s="14" t="s">
        <v>83</v>
      </c>
      <c r="AY100" s="157" t="s">
        <v>144</v>
      </c>
    </row>
    <row r="101" spans="1:65" s="2" customFormat="1" ht="49.15" customHeight="1">
      <c r="A101" s="31"/>
      <c r="B101" s="136"/>
      <c r="C101" s="137" t="s">
        <v>152</v>
      </c>
      <c r="D101" s="137" t="s">
        <v>147</v>
      </c>
      <c r="E101" s="138" t="s">
        <v>937</v>
      </c>
      <c r="F101" s="139" t="s">
        <v>938</v>
      </c>
      <c r="G101" s="140" t="s">
        <v>156</v>
      </c>
      <c r="H101" s="141">
        <v>3</v>
      </c>
      <c r="I101" s="142"/>
      <c r="J101" s="142">
        <f>ROUND(I101*H101,2)</f>
        <v>0</v>
      </c>
      <c r="K101" s="139" t="s">
        <v>157</v>
      </c>
      <c r="L101" s="32"/>
      <c r="M101" s="143" t="s">
        <v>3</v>
      </c>
      <c r="N101" s="144" t="s">
        <v>46</v>
      </c>
      <c r="O101" s="145">
        <v>0.614</v>
      </c>
      <c r="P101" s="145">
        <f>O101*H101</f>
        <v>1.842</v>
      </c>
      <c r="Q101" s="145">
        <v>0</v>
      </c>
      <c r="R101" s="145">
        <f>Q101*H101</f>
        <v>0</v>
      </c>
      <c r="S101" s="145">
        <v>0.012</v>
      </c>
      <c r="T101" s="146">
        <f>S101*H101</f>
        <v>0.036000000000000004</v>
      </c>
      <c r="U101" s="31"/>
      <c r="V101" s="31"/>
      <c r="W101" s="31"/>
      <c r="X101" s="31"/>
      <c r="Y101" s="31"/>
      <c r="Z101" s="31"/>
      <c r="AA101" s="31"/>
      <c r="AB101" s="31"/>
      <c r="AC101" s="31"/>
      <c r="AD101" s="31"/>
      <c r="AE101" s="31"/>
      <c r="AR101" s="147" t="s">
        <v>152</v>
      </c>
      <c r="AT101" s="147" t="s">
        <v>147</v>
      </c>
      <c r="AU101" s="147" t="s">
        <v>85</v>
      </c>
      <c r="AY101" s="19" t="s">
        <v>144</v>
      </c>
      <c r="BE101" s="148">
        <f>IF(N101="základní",J101,0)</f>
        <v>0</v>
      </c>
      <c r="BF101" s="148">
        <f>IF(N101="snížená",J101,0)</f>
        <v>0</v>
      </c>
      <c r="BG101" s="148">
        <f>IF(N101="zákl. přenesená",J101,0)</f>
        <v>0</v>
      </c>
      <c r="BH101" s="148">
        <f>IF(N101="sníž. přenesená",J101,0)</f>
        <v>0</v>
      </c>
      <c r="BI101" s="148">
        <f>IF(N101="nulová",J101,0)</f>
        <v>0</v>
      </c>
      <c r="BJ101" s="19" t="s">
        <v>83</v>
      </c>
      <c r="BK101" s="148">
        <f>ROUND(I101*H101,2)</f>
        <v>0</v>
      </c>
      <c r="BL101" s="19" t="s">
        <v>152</v>
      </c>
      <c r="BM101" s="147" t="s">
        <v>1271</v>
      </c>
    </row>
    <row r="102" spans="2:51" s="13" customFormat="1" ht="12">
      <c r="B102" s="149"/>
      <c r="D102" s="150" t="s">
        <v>154</v>
      </c>
      <c r="E102" s="151" t="s">
        <v>3</v>
      </c>
      <c r="F102" s="152" t="s">
        <v>1454</v>
      </c>
      <c r="H102" s="151" t="s">
        <v>3</v>
      </c>
      <c r="L102" s="149"/>
      <c r="M102" s="153"/>
      <c r="N102" s="154"/>
      <c r="O102" s="154"/>
      <c r="P102" s="154"/>
      <c r="Q102" s="154"/>
      <c r="R102" s="154"/>
      <c r="S102" s="154"/>
      <c r="T102" s="155"/>
      <c r="AT102" s="151" t="s">
        <v>154</v>
      </c>
      <c r="AU102" s="151" t="s">
        <v>85</v>
      </c>
      <c r="AV102" s="13" t="s">
        <v>83</v>
      </c>
      <c r="AW102" s="13" t="s">
        <v>37</v>
      </c>
      <c r="AX102" s="13" t="s">
        <v>75</v>
      </c>
      <c r="AY102" s="151" t="s">
        <v>144</v>
      </c>
    </row>
    <row r="103" spans="2:51" s="14" customFormat="1" ht="12">
      <c r="B103" s="156"/>
      <c r="D103" s="150" t="s">
        <v>154</v>
      </c>
      <c r="E103" s="157" t="s">
        <v>3</v>
      </c>
      <c r="F103" s="158" t="s">
        <v>145</v>
      </c>
      <c r="H103" s="159">
        <v>3</v>
      </c>
      <c r="L103" s="156"/>
      <c r="M103" s="160"/>
      <c r="N103" s="161"/>
      <c r="O103" s="161"/>
      <c r="P103" s="161"/>
      <c r="Q103" s="161"/>
      <c r="R103" s="161"/>
      <c r="S103" s="161"/>
      <c r="T103" s="162"/>
      <c r="AT103" s="157" t="s">
        <v>154</v>
      </c>
      <c r="AU103" s="157" t="s">
        <v>85</v>
      </c>
      <c r="AV103" s="14" t="s">
        <v>85</v>
      </c>
      <c r="AW103" s="14" t="s">
        <v>37</v>
      </c>
      <c r="AX103" s="14" t="s">
        <v>83</v>
      </c>
      <c r="AY103" s="157" t="s">
        <v>144</v>
      </c>
    </row>
    <row r="104" spans="2:63" s="12" customFormat="1" ht="22.9" customHeight="1">
      <c r="B104" s="124"/>
      <c r="D104" s="125" t="s">
        <v>74</v>
      </c>
      <c r="E104" s="134" t="s">
        <v>334</v>
      </c>
      <c r="F104" s="134" t="s">
        <v>335</v>
      </c>
      <c r="J104" s="135">
        <f>BK104</f>
        <v>0</v>
      </c>
      <c r="L104" s="124"/>
      <c r="M104" s="128"/>
      <c r="N104" s="129"/>
      <c r="O104" s="129"/>
      <c r="P104" s="130">
        <f>SUM(P105:P116)</f>
        <v>0.23320307692307696</v>
      </c>
      <c r="Q104" s="129"/>
      <c r="R104" s="130">
        <f>SUM(R105:R116)</f>
        <v>0</v>
      </c>
      <c r="S104" s="129"/>
      <c r="T104" s="131">
        <f>SUM(T105:T116)</f>
        <v>0</v>
      </c>
      <c r="AR104" s="125" t="s">
        <v>83</v>
      </c>
      <c r="AT104" s="132" t="s">
        <v>74</v>
      </c>
      <c r="AU104" s="132" t="s">
        <v>83</v>
      </c>
      <c r="AY104" s="125" t="s">
        <v>144</v>
      </c>
      <c r="BK104" s="133">
        <f>SUM(BK105:BK116)</f>
        <v>0</v>
      </c>
    </row>
    <row r="105" spans="1:65" s="2" customFormat="1" ht="37.9" customHeight="1">
      <c r="A105" s="31"/>
      <c r="B105" s="136"/>
      <c r="C105" s="137" t="s">
        <v>173</v>
      </c>
      <c r="D105" s="137" t="s">
        <v>147</v>
      </c>
      <c r="E105" s="138" t="s">
        <v>337</v>
      </c>
      <c r="F105" s="139" t="s">
        <v>338</v>
      </c>
      <c r="G105" s="140" t="s">
        <v>170</v>
      </c>
      <c r="H105" s="141">
        <f>0.076/13*10</f>
        <v>0.05846153846153847</v>
      </c>
      <c r="I105" s="142"/>
      <c r="J105" s="142">
        <f>ROUND(I105*H105,2)</f>
        <v>0</v>
      </c>
      <c r="K105" s="139" t="s">
        <v>157</v>
      </c>
      <c r="L105" s="32"/>
      <c r="M105" s="143" t="s">
        <v>3</v>
      </c>
      <c r="N105" s="144" t="s">
        <v>46</v>
      </c>
      <c r="O105" s="145">
        <v>2.42</v>
      </c>
      <c r="P105" s="145">
        <f>O105*H105</f>
        <v>0.14147692307692308</v>
      </c>
      <c r="Q105" s="145">
        <v>0</v>
      </c>
      <c r="R105" s="145">
        <f>Q105*H105</f>
        <v>0</v>
      </c>
      <c r="S105" s="145">
        <v>0</v>
      </c>
      <c r="T105" s="146">
        <f>S105*H105</f>
        <v>0</v>
      </c>
      <c r="U105" s="31"/>
      <c r="V105" s="31"/>
      <c r="W105" s="31"/>
      <c r="X105" s="31"/>
      <c r="Y105" s="31"/>
      <c r="Z105" s="31"/>
      <c r="AA105" s="31"/>
      <c r="AB105" s="31"/>
      <c r="AC105" s="31"/>
      <c r="AD105" s="31"/>
      <c r="AE105" s="31"/>
      <c r="AR105" s="147" t="s">
        <v>152</v>
      </c>
      <c r="AT105" s="147" t="s">
        <v>147</v>
      </c>
      <c r="AU105" s="147" t="s">
        <v>85</v>
      </c>
      <c r="AY105" s="19" t="s">
        <v>144</v>
      </c>
      <c r="BE105" s="148">
        <f>IF(N105="základní",J105,0)</f>
        <v>0</v>
      </c>
      <c r="BF105" s="148">
        <f>IF(N105="snížená",J105,0)</f>
        <v>0</v>
      </c>
      <c r="BG105" s="148">
        <f>IF(N105="zákl. přenesená",J105,0)</f>
        <v>0</v>
      </c>
      <c r="BH105" s="148">
        <f>IF(N105="sníž. přenesená",J105,0)</f>
        <v>0</v>
      </c>
      <c r="BI105" s="148">
        <f>IF(N105="nulová",J105,0)</f>
        <v>0</v>
      </c>
      <c r="BJ105" s="19" t="s">
        <v>83</v>
      </c>
      <c r="BK105" s="148">
        <f>ROUND(I105*H105,2)</f>
        <v>0</v>
      </c>
      <c r="BL105" s="19" t="s">
        <v>152</v>
      </c>
      <c r="BM105" s="147" t="s">
        <v>1276</v>
      </c>
    </row>
    <row r="106" spans="1:47" s="2" customFormat="1" ht="146.25">
      <c r="A106" s="31"/>
      <c r="B106" s="32"/>
      <c r="C106" s="31"/>
      <c r="D106" s="150" t="s">
        <v>158</v>
      </c>
      <c r="E106" s="31"/>
      <c r="F106" s="163" t="s">
        <v>340</v>
      </c>
      <c r="G106" s="31"/>
      <c r="H106" s="31"/>
      <c r="I106" s="31"/>
      <c r="J106" s="31"/>
      <c r="K106" s="31"/>
      <c r="L106" s="32"/>
      <c r="M106" s="164"/>
      <c r="N106" s="165"/>
      <c r="O106" s="52"/>
      <c r="P106" s="52"/>
      <c r="Q106" s="52"/>
      <c r="R106" s="52"/>
      <c r="S106" s="52"/>
      <c r="T106" s="53"/>
      <c r="U106" s="31"/>
      <c r="V106" s="31"/>
      <c r="W106" s="31"/>
      <c r="X106" s="31"/>
      <c r="Y106" s="31"/>
      <c r="Z106" s="31"/>
      <c r="AA106" s="31"/>
      <c r="AB106" s="31"/>
      <c r="AC106" s="31"/>
      <c r="AD106" s="31"/>
      <c r="AE106" s="31"/>
      <c r="AT106" s="19" t="s">
        <v>158</v>
      </c>
      <c r="AU106" s="19" t="s">
        <v>85</v>
      </c>
    </row>
    <row r="107" spans="1:65" s="2" customFormat="1" ht="62.65" customHeight="1">
      <c r="A107" s="31"/>
      <c r="B107" s="136"/>
      <c r="C107" s="137" t="s">
        <v>179</v>
      </c>
      <c r="D107" s="137" t="s">
        <v>147</v>
      </c>
      <c r="E107" s="138" t="s">
        <v>342</v>
      </c>
      <c r="F107" s="139" t="s">
        <v>343</v>
      </c>
      <c r="G107" s="140" t="s">
        <v>170</v>
      </c>
      <c r="H107" s="141">
        <f>H109</f>
        <v>0.2923076923076923</v>
      </c>
      <c r="I107" s="142"/>
      <c r="J107" s="142">
        <f>ROUND(I107*H107,2)</f>
        <v>0</v>
      </c>
      <c r="K107" s="139" t="s">
        <v>157</v>
      </c>
      <c r="L107" s="32"/>
      <c r="M107" s="143" t="s">
        <v>3</v>
      </c>
      <c r="N107" s="144" t="s">
        <v>46</v>
      </c>
      <c r="O107" s="145">
        <v>0.26</v>
      </c>
      <c r="P107" s="145">
        <f>O107*H107</f>
        <v>0.07600000000000001</v>
      </c>
      <c r="Q107" s="145">
        <v>0</v>
      </c>
      <c r="R107" s="145">
        <f>Q107*H107</f>
        <v>0</v>
      </c>
      <c r="S107" s="145">
        <v>0</v>
      </c>
      <c r="T107" s="146">
        <f>S107*H107</f>
        <v>0</v>
      </c>
      <c r="U107" s="31"/>
      <c r="V107" s="31"/>
      <c r="W107" s="31"/>
      <c r="X107" s="31"/>
      <c r="Y107" s="31"/>
      <c r="Z107" s="31"/>
      <c r="AA107" s="31"/>
      <c r="AB107" s="31"/>
      <c r="AC107" s="31"/>
      <c r="AD107" s="31"/>
      <c r="AE107" s="31"/>
      <c r="AR107" s="147" t="s">
        <v>152</v>
      </c>
      <c r="AT107" s="147" t="s">
        <v>147</v>
      </c>
      <c r="AU107" s="147" t="s">
        <v>85</v>
      </c>
      <c r="AY107" s="19" t="s">
        <v>144</v>
      </c>
      <c r="BE107" s="148">
        <f>IF(N107="základní",J107,0)</f>
        <v>0</v>
      </c>
      <c r="BF107" s="148">
        <f>IF(N107="snížená",J107,0)</f>
        <v>0</v>
      </c>
      <c r="BG107" s="148">
        <f>IF(N107="zákl. přenesená",J107,0)</f>
        <v>0</v>
      </c>
      <c r="BH107" s="148">
        <f>IF(N107="sníž. přenesená",J107,0)</f>
        <v>0</v>
      </c>
      <c r="BI107" s="148">
        <f>IF(N107="nulová",J107,0)</f>
        <v>0</v>
      </c>
      <c r="BJ107" s="19" t="s">
        <v>83</v>
      </c>
      <c r="BK107" s="148">
        <f>ROUND(I107*H107,2)</f>
        <v>0</v>
      </c>
      <c r="BL107" s="19" t="s">
        <v>152</v>
      </c>
      <c r="BM107" s="147" t="s">
        <v>1277</v>
      </c>
    </row>
    <row r="108" spans="1:47" s="2" customFormat="1" ht="146.25">
      <c r="A108" s="31"/>
      <c r="B108" s="32"/>
      <c r="C108" s="31"/>
      <c r="D108" s="150" t="s">
        <v>158</v>
      </c>
      <c r="E108" s="31"/>
      <c r="F108" s="163" t="s">
        <v>340</v>
      </c>
      <c r="G108" s="31"/>
      <c r="H108" s="31"/>
      <c r="I108" s="31"/>
      <c r="J108" s="31"/>
      <c r="K108" s="31"/>
      <c r="L108" s="32"/>
      <c r="M108" s="164"/>
      <c r="N108" s="165"/>
      <c r="O108" s="52"/>
      <c r="P108" s="52"/>
      <c r="Q108" s="52"/>
      <c r="R108" s="52"/>
      <c r="S108" s="52"/>
      <c r="T108" s="53"/>
      <c r="U108" s="31"/>
      <c r="V108" s="31"/>
      <c r="W108" s="31"/>
      <c r="X108" s="31"/>
      <c r="Y108" s="31"/>
      <c r="Z108" s="31"/>
      <c r="AA108" s="31"/>
      <c r="AB108" s="31"/>
      <c r="AC108" s="31"/>
      <c r="AD108" s="31"/>
      <c r="AE108" s="31"/>
      <c r="AT108" s="19" t="s">
        <v>158</v>
      </c>
      <c r="AU108" s="19" t="s">
        <v>85</v>
      </c>
    </row>
    <row r="109" spans="2:51" s="14" customFormat="1" ht="12">
      <c r="B109" s="156"/>
      <c r="D109" s="150" t="s">
        <v>154</v>
      </c>
      <c r="F109" s="158" t="s">
        <v>1788</v>
      </c>
      <c r="H109" s="159">
        <f>H105*5</f>
        <v>0.2923076923076923</v>
      </c>
      <c r="L109" s="156"/>
      <c r="M109" s="160"/>
      <c r="N109" s="161"/>
      <c r="O109" s="161"/>
      <c r="P109" s="161"/>
      <c r="Q109" s="161"/>
      <c r="R109" s="161"/>
      <c r="S109" s="161"/>
      <c r="T109" s="162"/>
      <c r="AT109" s="157" t="s">
        <v>154</v>
      </c>
      <c r="AU109" s="157" t="s">
        <v>85</v>
      </c>
      <c r="AV109" s="14" t="s">
        <v>85</v>
      </c>
      <c r="AW109" s="14" t="s">
        <v>4</v>
      </c>
      <c r="AX109" s="14" t="s">
        <v>83</v>
      </c>
      <c r="AY109" s="157" t="s">
        <v>144</v>
      </c>
    </row>
    <row r="110" spans="1:65" s="2" customFormat="1" ht="24.2" customHeight="1">
      <c r="A110" s="31"/>
      <c r="B110" s="136"/>
      <c r="C110" s="137" t="s">
        <v>180</v>
      </c>
      <c r="D110" s="137" t="s">
        <v>147</v>
      </c>
      <c r="E110" s="138" t="s">
        <v>346</v>
      </c>
      <c r="F110" s="139" t="s">
        <v>347</v>
      </c>
      <c r="G110" s="140" t="s">
        <v>170</v>
      </c>
      <c r="H110" s="141">
        <f>H105</f>
        <v>0.05846153846153847</v>
      </c>
      <c r="I110" s="142"/>
      <c r="J110" s="142">
        <f>ROUND(I110*H110,2)</f>
        <v>0</v>
      </c>
      <c r="K110" s="139" t="s">
        <v>157</v>
      </c>
      <c r="L110" s="32"/>
      <c r="M110" s="143" t="s">
        <v>3</v>
      </c>
      <c r="N110" s="144" t="s">
        <v>46</v>
      </c>
      <c r="O110" s="145">
        <v>0.125</v>
      </c>
      <c r="P110" s="145">
        <f>O110*H110</f>
        <v>0.0073076923076923084</v>
      </c>
      <c r="Q110" s="145">
        <v>0</v>
      </c>
      <c r="R110" s="145">
        <f>Q110*H110</f>
        <v>0</v>
      </c>
      <c r="S110" s="145">
        <v>0</v>
      </c>
      <c r="T110" s="146">
        <f>S110*H110</f>
        <v>0</v>
      </c>
      <c r="U110" s="31"/>
      <c r="V110" s="31"/>
      <c r="W110" s="31"/>
      <c r="X110" s="31"/>
      <c r="Y110" s="31"/>
      <c r="Z110" s="31"/>
      <c r="AA110" s="31"/>
      <c r="AB110" s="31"/>
      <c r="AC110" s="31"/>
      <c r="AD110" s="31"/>
      <c r="AE110" s="31"/>
      <c r="AR110" s="147" t="s">
        <v>152</v>
      </c>
      <c r="AT110" s="147" t="s">
        <v>147</v>
      </c>
      <c r="AU110" s="147" t="s">
        <v>85</v>
      </c>
      <c r="AY110" s="19" t="s">
        <v>144</v>
      </c>
      <c r="BE110" s="148">
        <f>IF(N110="základní",J110,0)</f>
        <v>0</v>
      </c>
      <c r="BF110" s="148">
        <f>IF(N110="snížená",J110,0)</f>
        <v>0</v>
      </c>
      <c r="BG110" s="148">
        <f>IF(N110="zákl. přenesená",J110,0)</f>
        <v>0</v>
      </c>
      <c r="BH110" s="148">
        <f>IF(N110="sníž. přenesená",J110,0)</f>
        <v>0</v>
      </c>
      <c r="BI110" s="148">
        <f>IF(N110="nulová",J110,0)</f>
        <v>0</v>
      </c>
      <c r="BJ110" s="19" t="s">
        <v>83</v>
      </c>
      <c r="BK110" s="148">
        <f>ROUND(I110*H110,2)</f>
        <v>0</v>
      </c>
      <c r="BL110" s="19" t="s">
        <v>152</v>
      </c>
      <c r="BM110" s="147" t="s">
        <v>1279</v>
      </c>
    </row>
    <row r="111" spans="1:47" s="2" customFormat="1" ht="107.25">
      <c r="A111" s="31"/>
      <c r="B111" s="32"/>
      <c r="C111" s="31"/>
      <c r="D111" s="150" t="s">
        <v>158</v>
      </c>
      <c r="E111" s="31"/>
      <c r="F111" s="163" t="s">
        <v>349</v>
      </c>
      <c r="G111" s="31"/>
      <c r="H111" s="31"/>
      <c r="I111" s="31"/>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158</v>
      </c>
      <c r="AU111" s="19" t="s">
        <v>85</v>
      </c>
    </row>
    <row r="112" spans="1:65" s="2" customFormat="1" ht="37.9" customHeight="1">
      <c r="A112" s="31"/>
      <c r="B112" s="136"/>
      <c r="C112" s="137" t="s">
        <v>177</v>
      </c>
      <c r="D112" s="137" t="s">
        <v>147</v>
      </c>
      <c r="E112" s="138" t="s">
        <v>351</v>
      </c>
      <c r="F112" s="139" t="s">
        <v>352</v>
      </c>
      <c r="G112" s="140" t="s">
        <v>170</v>
      </c>
      <c r="H112" s="141">
        <f>H114</f>
        <v>1.4030769230769233</v>
      </c>
      <c r="I112" s="142"/>
      <c r="J112" s="142">
        <f>ROUND(I112*H112,2)</f>
        <v>0</v>
      </c>
      <c r="K112" s="139" t="s">
        <v>157</v>
      </c>
      <c r="L112" s="32"/>
      <c r="M112" s="143" t="s">
        <v>3</v>
      </c>
      <c r="N112" s="144" t="s">
        <v>46</v>
      </c>
      <c r="O112" s="145">
        <v>0.006</v>
      </c>
      <c r="P112" s="145">
        <f>O112*H112</f>
        <v>0.00841846153846154</v>
      </c>
      <c r="Q112" s="145">
        <v>0</v>
      </c>
      <c r="R112" s="145">
        <f>Q112*H112</f>
        <v>0</v>
      </c>
      <c r="S112" s="145">
        <v>0</v>
      </c>
      <c r="T112" s="146">
        <f>S112*H112</f>
        <v>0</v>
      </c>
      <c r="U112" s="31"/>
      <c r="V112" s="31"/>
      <c r="W112" s="31"/>
      <c r="X112" s="31"/>
      <c r="Y112" s="31"/>
      <c r="Z112" s="31"/>
      <c r="AA112" s="31"/>
      <c r="AB112" s="31"/>
      <c r="AC112" s="31"/>
      <c r="AD112" s="31"/>
      <c r="AE112" s="31"/>
      <c r="AR112" s="147" t="s">
        <v>152</v>
      </c>
      <c r="AT112" s="147" t="s">
        <v>147</v>
      </c>
      <c r="AU112" s="147" t="s">
        <v>85</v>
      </c>
      <c r="AY112" s="19" t="s">
        <v>144</v>
      </c>
      <c r="BE112" s="148">
        <f>IF(N112="základní",J112,0)</f>
        <v>0</v>
      </c>
      <c r="BF112" s="148">
        <f>IF(N112="snížená",J112,0)</f>
        <v>0</v>
      </c>
      <c r="BG112" s="148">
        <f>IF(N112="zákl. přenesená",J112,0)</f>
        <v>0</v>
      </c>
      <c r="BH112" s="148">
        <f>IF(N112="sníž. přenesená",J112,0)</f>
        <v>0</v>
      </c>
      <c r="BI112" s="148">
        <f>IF(N112="nulová",J112,0)</f>
        <v>0</v>
      </c>
      <c r="BJ112" s="19" t="s">
        <v>83</v>
      </c>
      <c r="BK112" s="148">
        <f>ROUND(I112*H112,2)</f>
        <v>0</v>
      </c>
      <c r="BL112" s="19" t="s">
        <v>152</v>
      </c>
      <c r="BM112" s="147" t="s">
        <v>1280</v>
      </c>
    </row>
    <row r="113" spans="1:47" s="2" customFormat="1" ht="107.25">
      <c r="A113" s="31"/>
      <c r="B113" s="32"/>
      <c r="C113" s="31"/>
      <c r="D113" s="150" t="s">
        <v>158</v>
      </c>
      <c r="E113" s="31"/>
      <c r="F113" s="163" t="s">
        <v>349</v>
      </c>
      <c r="G113" s="31"/>
      <c r="H113" s="31"/>
      <c r="I113" s="31"/>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158</v>
      </c>
      <c r="AU113" s="19" t="s">
        <v>85</v>
      </c>
    </row>
    <row r="114" spans="2:51" s="14" customFormat="1" ht="12">
      <c r="B114" s="156"/>
      <c r="D114" s="150" t="s">
        <v>154</v>
      </c>
      <c r="F114" s="158" t="s">
        <v>1789</v>
      </c>
      <c r="H114" s="159">
        <f>H105*24</f>
        <v>1.4030769230769233</v>
      </c>
      <c r="L114" s="156"/>
      <c r="M114" s="160"/>
      <c r="N114" s="161"/>
      <c r="O114" s="161"/>
      <c r="P114" s="161"/>
      <c r="Q114" s="161"/>
      <c r="R114" s="161"/>
      <c r="S114" s="161"/>
      <c r="T114" s="162"/>
      <c r="AT114" s="157" t="s">
        <v>154</v>
      </c>
      <c r="AU114" s="157" t="s">
        <v>85</v>
      </c>
      <c r="AV114" s="14" t="s">
        <v>85</v>
      </c>
      <c r="AW114" s="14" t="s">
        <v>4</v>
      </c>
      <c r="AX114" s="14" t="s">
        <v>83</v>
      </c>
      <c r="AY114" s="157" t="s">
        <v>144</v>
      </c>
    </row>
    <row r="115" spans="1:65" s="2" customFormat="1" ht="37.9" customHeight="1">
      <c r="A115" s="31"/>
      <c r="B115" s="136"/>
      <c r="C115" s="137" t="s">
        <v>188</v>
      </c>
      <c r="D115" s="137" t="s">
        <v>147</v>
      </c>
      <c r="E115" s="138" t="s">
        <v>355</v>
      </c>
      <c r="F115" s="139" t="s">
        <v>356</v>
      </c>
      <c r="G115" s="140" t="s">
        <v>170</v>
      </c>
      <c r="H115" s="141">
        <f>H110</f>
        <v>0.05846153846153847</v>
      </c>
      <c r="I115" s="142"/>
      <c r="J115" s="142">
        <f>ROUND(I115*H115,2)</f>
        <v>0</v>
      </c>
      <c r="K115" s="139" t="s">
        <v>157</v>
      </c>
      <c r="L115" s="32"/>
      <c r="M115" s="143" t="s">
        <v>3</v>
      </c>
      <c r="N115" s="144" t="s">
        <v>46</v>
      </c>
      <c r="O115" s="145">
        <v>0</v>
      </c>
      <c r="P115" s="145">
        <f>O115*H115</f>
        <v>0</v>
      </c>
      <c r="Q115" s="145">
        <v>0</v>
      </c>
      <c r="R115" s="145">
        <f>Q115*H115</f>
        <v>0</v>
      </c>
      <c r="S115" s="145">
        <v>0</v>
      </c>
      <c r="T115" s="146">
        <f>S115*H115</f>
        <v>0</v>
      </c>
      <c r="U115" s="31"/>
      <c r="V115" s="31"/>
      <c r="W115" s="31"/>
      <c r="X115" s="31"/>
      <c r="Y115" s="31"/>
      <c r="Z115" s="31"/>
      <c r="AA115" s="31"/>
      <c r="AB115" s="31"/>
      <c r="AC115" s="31"/>
      <c r="AD115" s="31"/>
      <c r="AE115" s="31"/>
      <c r="AR115" s="147" t="s">
        <v>152</v>
      </c>
      <c r="AT115" s="147" t="s">
        <v>147</v>
      </c>
      <c r="AU115" s="147" t="s">
        <v>85</v>
      </c>
      <c r="AY115" s="19" t="s">
        <v>144</v>
      </c>
      <c r="BE115" s="148">
        <f>IF(N115="základní",J115,0)</f>
        <v>0</v>
      </c>
      <c r="BF115" s="148">
        <f>IF(N115="snížená",J115,0)</f>
        <v>0</v>
      </c>
      <c r="BG115" s="148">
        <f>IF(N115="zákl. přenesená",J115,0)</f>
        <v>0</v>
      </c>
      <c r="BH115" s="148">
        <f>IF(N115="sníž. přenesená",J115,0)</f>
        <v>0</v>
      </c>
      <c r="BI115" s="148">
        <f>IF(N115="nulová",J115,0)</f>
        <v>0</v>
      </c>
      <c r="BJ115" s="19" t="s">
        <v>83</v>
      </c>
      <c r="BK115" s="148">
        <f>ROUND(I115*H115,2)</f>
        <v>0</v>
      </c>
      <c r="BL115" s="19" t="s">
        <v>152</v>
      </c>
      <c r="BM115" s="147" t="s">
        <v>1282</v>
      </c>
    </row>
    <row r="116" spans="1:47" s="2" customFormat="1" ht="107.25">
      <c r="A116" s="31"/>
      <c r="B116" s="32"/>
      <c r="C116" s="31"/>
      <c r="D116" s="150" t="s">
        <v>158</v>
      </c>
      <c r="E116" s="31"/>
      <c r="F116" s="163" t="s">
        <v>358</v>
      </c>
      <c r="G116" s="31"/>
      <c r="H116" s="31"/>
      <c r="I116" s="31"/>
      <c r="J116" s="31"/>
      <c r="K116" s="31"/>
      <c r="L116" s="32"/>
      <c r="M116" s="164"/>
      <c r="N116" s="165"/>
      <c r="O116" s="52"/>
      <c r="P116" s="52"/>
      <c r="Q116" s="52"/>
      <c r="R116" s="52"/>
      <c r="S116" s="52"/>
      <c r="T116" s="53"/>
      <c r="U116" s="31"/>
      <c r="V116" s="31"/>
      <c r="W116" s="31"/>
      <c r="X116" s="31"/>
      <c r="Y116" s="31"/>
      <c r="Z116" s="31"/>
      <c r="AA116" s="31"/>
      <c r="AB116" s="31"/>
      <c r="AC116" s="31"/>
      <c r="AD116" s="31"/>
      <c r="AE116" s="31"/>
      <c r="AT116" s="19" t="s">
        <v>158</v>
      </c>
      <c r="AU116" s="19" t="s">
        <v>85</v>
      </c>
    </row>
    <row r="117" spans="2:63" s="12" customFormat="1" ht="22.9" customHeight="1">
      <c r="B117" s="124"/>
      <c r="D117" s="125" t="s">
        <v>74</v>
      </c>
      <c r="E117" s="134" t="s">
        <v>359</v>
      </c>
      <c r="F117" s="134" t="s">
        <v>360</v>
      </c>
      <c r="J117" s="135">
        <f>BK117</f>
        <v>0</v>
      </c>
      <c r="L117" s="124"/>
      <c r="M117" s="128"/>
      <c r="N117" s="129"/>
      <c r="O117" s="129"/>
      <c r="P117" s="130">
        <f>SUM(P118:P119)</f>
        <v>0.5687076923076922</v>
      </c>
      <c r="Q117" s="129"/>
      <c r="R117" s="130">
        <f>SUM(R118:R119)</f>
        <v>0</v>
      </c>
      <c r="S117" s="129"/>
      <c r="T117" s="131">
        <f>SUM(T118:T119)</f>
        <v>0</v>
      </c>
      <c r="AR117" s="125" t="s">
        <v>83</v>
      </c>
      <c r="AT117" s="132" t="s">
        <v>74</v>
      </c>
      <c r="AU117" s="132" t="s">
        <v>83</v>
      </c>
      <c r="AY117" s="125" t="s">
        <v>144</v>
      </c>
      <c r="BK117" s="133">
        <f>SUM(BK118:BK119)</f>
        <v>0</v>
      </c>
    </row>
    <row r="118" spans="1:65" s="2" customFormat="1" ht="49.15" customHeight="1">
      <c r="A118" s="31"/>
      <c r="B118" s="136"/>
      <c r="C118" s="137" t="s">
        <v>189</v>
      </c>
      <c r="D118" s="137" t="s">
        <v>147</v>
      </c>
      <c r="E118" s="138" t="s">
        <v>362</v>
      </c>
      <c r="F118" s="139" t="s">
        <v>363</v>
      </c>
      <c r="G118" s="140" t="s">
        <v>170</v>
      </c>
      <c r="H118" s="141">
        <f>0.183/13*10</f>
        <v>0.14076923076923076</v>
      </c>
      <c r="I118" s="142"/>
      <c r="J118" s="142">
        <f>ROUND(I118*H118,2)</f>
        <v>0</v>
      </c>
      <c r="K118" s="139" t="s">
        <v>157</v>
      </c>
      <c r="L118" s="32"/>
      <c r="M118" s="143" t="s">
        <v>3</v>
      </c>
      <c r="N118" s="144" t="s">
        <v>46</v>
      </c>
      <c r="O118" s="145">
        <v>4.04</v>
      </c>
      <c r="P118" s="145">
        <f>O118*H118</f>
        <v>0.5687076923076922</v>
      </c>
      <c r="Q118" s="145">
        <v>0</v>
      </c>
      <c r="R118" s="145">
        <f>Q118*H118</f>
        <v>0</v>
      </c>
      <c r="S118" s="145">
        <v>0</v>
      </c>
      <c r="T118" s="146">
        <f>S118*H118</f>
        <v>0</v>
      </c>
      <c r="U118" s="31"/>
      <c r="V118" s="31"/>
      <c r="W118" s="31"/>
      <c r="X118" s="31"/>
      <c r="Y118" s="31"/>
      <c r="Z118" s="31"/>
      <c r="AA118" s="31"/>
      <c r="AB118" s="31"/>
      <c r="AC118" s="31"/>
      <c r="AD118" s="31"/>
      <c r="AE118" s="31"/>
      <c r="AR118" s="147" t="s">
        <v>152</v>
      </c>
      <c r="AT118" s="147" t="s">
        <v>147</v>
      </c>
      <c r="AU118" s="147" t="s">
        <v>85</v>
      </c>
      <c r="AY118" s="19" t="s">
        <v>144</v>
      </c>
      <c r="BE118" s="148">
        <f>IF(N118="základní",J118,0)</f>
        <v>0</v>
      </c>
      <c r="BF118" s="148">
        <f>IF(N118="snížená",J118,0)</f>
        <v>0</v>
      </c>
      <c r="BG118" s="148">
        <f>IF(N118="zákl. přenesená",J118,0)</f>
        <v>0</v>
      </c>
      <c r="BH118" s="148">
        <f>IF(N118="sníž. přenesená",J118,0)</f>
        <v>0</v>
      </c>
      <c r="BI118" s="148">
        <f>IF(N118="nulová",J118,0)</f>
        <v>0</v>
      </c>
      <c r="BJ118" s="19" t="s">
        <v>83</v>
      </c>
      <c r="BK118" s="148">
        <f>ROUND(I118*H118,2)</f>
        <v>0</v>
      </c>
      <c r="BL118" s="19" t="s">
        <v>152</v>
      </c>
      <c r="BM118" s="147" t="s">
        <v>1284</v>
      </c>
    </row>
    <row r="119" spans="1:47" s="2" customFormat="1" ht="87.75">
      <c r="A119" s="31"/>
      <c r="B119" s="32"/>
      <c r="C119" s="31"/>
      <c r="D119" s="150" t="s">
        <v>158</v>
      </c>
      <c r="E119" s="31"/>
      <c r="F119" s="163" t="s">
        <v>365</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158</v>
      </c>
      <c r="AU119" s="19" t="s">
        <v>85</v>
      </c>
    </row>
    <row r="120" spans="2:63" s="12" customFormat="1" ht="25.9" customHeight="1">
      <c r="B120" s="124"/>
      <c r="D120" s="125" t="s">
        <v>74</v>
      </c>
      <c r="E120" s="126" t="s">
        <v>366</v>
      </c>
      <c r="F120" s="126" t="s">
        <v>367</v>
      </c>
      <c r="J120" s="127">
        <f>BK120</f>
        <v>0</v>
      </c>
      <c r="L120" s="124"/>
      <c r="M120" s="128"/>
      <c r="N120" s="129"/>
      <c r="O120" s="129"/>
      <c r="P120" s="130">
        <f>P121+P131</f>
        <v>21.914709249999994</v>
      </c>
      <c r="Q120" s="129"/>
      <c r="R120" s="130">
        <f>R121+R131</f>
        <v>0.022420125</v>
      </c>
      <c r="S120" s="129"/>
      <c r="T120" s="131">
        <f>T121+T131</f>
        <v>0</v>
      </c>
      <c r="AR120" s="125" t="s">
        <v>85</v>
      </c>
      <c r="AT120" s="132" t="s">
        <v>74</v>
      </c>
      <c r="AU120" s="132" t="s">
        <v>75</v>
      </c>
      <c r="AY120" s="125" t="s">
        <v>144</v>
      </c>
      <c r="BK120" s="133">
        <f>BK121+BK131</f>
        <v>0</v>
      </c>
    </row>
    <row r="121" spans="2:63" s="12" customFormat="1" ht="22.9" customHeight="1">
      <c r="B121" s="124"/>
      <c r="D121" s="125" t="s">
        <v>74</v>
      </c>
      <c r="E121" s="134" t="s">
        <v>1455</v>
      </c>
      <c r="F121" s="134" t="s">
        <v>1456</v>
      </c>
      <c r="J121" s="135">
        <f>BK121</f>
        <v>0</v>
      </c>
      <c r="L121" s="124"/>
      <c r="M121" s="128"/>
      <c r="N121" s="129"/>
      <c r="O121" s="129"/>
      <c r="P121" s="130">
        <f>SUM(P122:P130)</f>
        <v>1.41708425</v>
      </c>
      <c r="Q121" s="129"/>
      <c r="R121" s="130">
        <f>SUM(R122:R130)</f>
        <v>0.018727874999999998</v>
      </c>
      <c r="S121" s="129"/>
      <c r="T121" s="131">
        <f>SUM(T122:T130)</f>
        <v>0</v>
      </c>
      <c r="AR121" s="125" t="s">
        <v>85</v>
      </c>
      <c r="AT121" s="132" t="s">
        <v>74</v>
      </c>
      <c r="AU121" s="132" t="s">
        <v>83</v>
      </c>
      <c r="AY121" s="125" t="s">
        <v>144</v>
      </c>
      <c r="BK121" s="133">
        <f>SUM(BK122:BK130)</f>
        <v>0</v>
      </c>
    </row>
    <row r="122" spans="1:65" s="2" customFormat="1" ht="49.15" customHeight="1">
      <c r="A122" s="31"/>
      <c r="B122" s="136"/>
      <c r="C122" s="137" t="s">
        <v>193</v>
      </c>
      <c r="D122" s="137" t="s">
        <v>147</v>
      </c>
      <c r="E122" s="138" t="s">
        <v>1457</v>
      </c>
      <c r="F122" s="139" t="s">
        <v>1458</v>
      </c>
      <c r="G122" s="140" t="s">
        <v>183</v>
      </c>
      <c r="H122" s="141">
        <f>H124</f>
        <v>4.16175</v>
      </c>
      <c r="I122" s="142"/>
      <c r="J122" s="142">
        <f>ROUND(I122*H122,2)</f>
        <v>0</v>
      </c>
      <c r="K122" s="139" t="s">
        <v>157</v>
      </c>
      <c r="L122" s="32"/>
      <c r="M122" s="143" t="s">
        <v>3</v>
      </c>
      <c r="N122" s="144" t="s">
        <v>46</v>
      </c>
      <c r="O122" s="145">
        <v>0.339</v>
      </c>
      <c r="P122" s="145">
        <f>O122*H122</f>
        <v>1.41083325</v>
      </c>
      <c r="Q122" s="145">
        <v>0.00151</v>
      </c>
      <c r="R122" s="145">
        <f>Q122*H122</f>
        <v>0.0062842424999999995</v>
      </c>
      <c r="S122" s="145">
        <v>0</v>
      </c>
      <c r="T122" s="146">
        <f>S122*H122</f>
        <v>0</v>
      </c>
      <c r="U122" s="31"/>
      <c r="V122" s="31"/>
      <c r="W122" s="31"/>
      <c r="X122" s="31"/>
      <c r="Y122" s="31"/>
      <c r="Z122" s="31"/>
      <c r="AA122" s="31"/>
      <c r="AB122" s="31"/>
      <c r="AC122" s="31"/>
      <c r="AD122" s="31"/>
      <c r="AE122" s="31"/>
      <c r="AR122" s="147" t="s">
        <v>218</v>
      </c>
      <c r="AT122" s="147" t="s">
        <v>147</v>
      </c>
      <c r="AU122" s="147" t="s">
        <v>85</v>
      </c>
      <c r="AY122" s="19" t="s">
        <v>144</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218</v>
      </c>
      <c r="BM122" s="147" t="s">
        <v>1459</v>
      </c>
    </row>
    <row r="123" spans="2:51" s="13" customFormat="1" ht="12">
      <c r="B123" s="149"/>
      <c r="D123" s="150" t="s">
        <v>154</v>
      </c>
      <c r="E123" s="151" t="s">
        <v>3</v>
      </c>
      <c r="F123" s="152" t="s">
        <v>1454</v>
      </c>
      <c r="H123" s="151" t="s">
        <v>3</v>
      </c>
      <c r="L123" s="149"/>
      <c r="M123" s="153"/>
      <c r="N123" s="154"/>
      <c r="O123" s="154"/>
      <c r="P123" s="154"/>
      <c r="Q123" s="154"/>
      <c r="R123" s="154"/>
      <c r="S123" s="154"/>
      <c r="T123" s="155"/>
      <c r="AT123" s="151" t="s">
        <v>154</v>
      </c>
      <c r="AU123" s="151" t="s">
        <v>85</v>
      </c>
      <c r="AV123" s="13" t="s">
        <v>83</v>
      </c>
      <c r="AW123" s="13" t="s">
        <v>37</v>
      </c>
      <c r="AX123" s="13" t="s">
        <v>75</v>
      </c>
      <c r="AY123" s="151" t="s">
        <v>144</v>
      </c>
    </row>
    <row r="124" spans="2:51" s="14" customFormat="1" ht="12">
      <c r="B124" s="156"/>
      <c r="D124" s="150" t="s">
        <v>154</v>
      </c>
      <c r="E124" s="157" t="s">
        <v>3</v>
      </c>
      <c r="F124" s="158" t="s">
        <v>1790</v>
      </c>
      <c r="H124" s="159">
        <f>(2.4+0.3+1+1+0.55+0.55+0.875+3.25+0.25+0.25+3)*0.31</f>
        <v>4.16175</v>
      </c>
      <c r="L124" s="156"/>
      <c r="M124" s="160"/>
      <c r="N124" s="161"/>
      <c r="O124" s="161"/>
      <c r="P124" s="161"/>
      <c r="Q124" s="161"/>
      <c r="R124" s="161"/>
      <c r="S124" s="161"/>
      <c r="T124" s="162"/>
      <c r="AT124" s="157" t="s">
        <v>154</v>
      </c>
      <c r="AU124" s="157" t="s">
        <v>85</v>
      </c>
      <c r="AV124" s="14" t="s">
        <v>85</v>
      </c>
      <c r="AW124" s="14" t="s">
        <v>37</v>
      </c>
      <c r="AX124" s="14" t="s">
        <v>83</v>
      </c>
      <c r="AY124" s="157" t="s">
        <v>144</v>
      </c>
    </row>
    <row r="125" spans="1:65" s="2" customFormat="1" ht="24.2" customHeight="1">
      <c r="A125" s="31"/>
      <c r="B125" s="136"/>
      <c r="C125" s="173" t="s">
        <v>198</v>
      </c>
      <c r="D125" s="173" t="s">
        <v>174</v>
      </c>
      <c r="E125" s="174" t="s">
        <v>1460</v>
      </c>
      <c r="F125" s="175" t="s">
        <v>1461</v>
      </c>
      <c r="G125" s="176" t="s">
        <v>183</v>
      </c>
      <c r="H125" s="177">
        <f>H126</f>
        <v>4.786012499999999</v>
      </c>
      <c r="I125" s="178"/>
      <c r="J125" s="178">
        <f>ROUND(I125*H125,2)</f>
        <v>0</v>
      </c>
      <c r="K125" s="175" t="s">
        <v>157</v>
      </c>
      <c r="L125" s="179"/>
      <c r="M125" s="180" t="s">
        <v>3</v>
      </c>
      <c r="N125" s="181" t="s">
        <v>46</v>
      </c>
      <c r="O125" s="145">
        <v>0</v>
      </c>
      <c r="P125" s="145">
        <f>O125*H125</f>
        <v>0</v>
      </c>
      <c r="Q125" s="145">
        <v>0.0026</v>
      </c>
      <c r="R125" s="145">
        <f>Q125*H125</f>
        <v>0.012443632499999998</v>
      </c>
      <c r="S125" s="145">
        <v>0</v>
      </c>
      <c r="T125" s="146">
        <f>S125*H125</f>
        <v>0</v>
      </c>
      <c r="U125" s="31"/>
      <c r="V125" s="31"/>
      <c r="W125" s="31"/>
      <c r="X125" s="31"/>
      <c r="Y125" s="31"/>
      <c r="Z125" s="31"/>
      <c r="AA125" s="31"/>
      <c r="AB125" s="31"/>
      <c r="AC125" s="31"/>
      <c r="AD125" s="31"/>
      <c r="AE125" s="31"/>
      <c r="AR125" s="147" t="s">
        <v>248</v>
      </c>
      <c r="AT125" s="147" t="s">
        <v>174</v>
      </c>
      <c r="AU125" s="147" t="s">
        <v>85</v>
      </c>
      <c r="AY125" s="19" t="s">
        <v>144</v>
      </c>
      <c r="BE125" s="148">
        <f>IF(N125="základní",J125,0)</f>
        <v>0</v>
      </c>
      <c r="BF125" s="148">
        <f>IF(N125="snížená",J125,0)</f>
        <v>0</v>
      </c>
      <c r="BG125" s="148">
        <f>IF(N125="zákl. přenesená",J125,0)</f>
        <v>0</v>
      </c>
      <c r="BH125" s="148">
        <f>IF(N125="sníž. přenesená",J125,0)</f>
        <v>0</v>
      </c>
      <c r="BI125" s="148">
        <f>IF(N125="nulová",J125,0)</f>
        <v>0</v>
      </c>
      <c r="BJ125" s="19" t="s">
        <v>83</v>
      </c>
      <c r="BK125" s="148">
        <f>ROUND(I125*H125,2)</f>
        <v>0</v>
      </c>
      <c r="BL125" s="19" t="s">
        <v>218</v>
      </c>
      <c r="BM125" s="147" t="s">
        <v>1462</v>
      </c>
    </row>
    <row r="126" spans="2:51" s="14" customFormat="1" ht="12">
      <c r="B126" s="156"/>
      <c r="D126" s="150" t="s">
        <v>154</v>
      </c>
      <c r="F126" s="158" t="s">
        <v>1791</v>
      </c>
      <c r="H126" s="159">
        <f>H122*1.15</f>
        <v>4.786012499999999</v>
      </c>
      <c r="L126" s="156"/>
      <c r="M126" s="160"/>
      <c r="N126" s="161"/>
      <c r="O126" s="161"/>
      <c r="P126" s="161"/>
      <c r="Q126" s="161"/>
      <c r="R126" s="161"/>
      <c r="S126" s="161"/>
      <c r="T126" s="162"/>
      <c r="AT126" s="157" t="s">
        <v>154</v>
      </c>
      <c r="AU126" s="157" t="s">
        <v>85</v>
      </c>
      <c r="AV126" s="14" t="s">
        <v>85</v>
      </c>
      <c r="AW126" s="14" t="s">
        <v>4</v>
      </c>
      <c r="AX126" s="14" t="s">
        <v>83</v>
      </c>
      <c r="AY126" s="157" t="s">
        <v>144</v>
      </c>
    </row>
    <row r="127" spans="1:65" s="2" customFormat="1" ht="49.15" customHeight="1">
      <c r="A127" s="31"/>
      <c r="B127" s="136"/>
      <c r="C127" s="137" t="s">
        <v>204</v>
      </c>
      <c r="D127" s="137" t="s">
        <v>147</v>
      </c>
      <c r="E127" s="138" t="s">
        <v>1463</v>
      </c>
      <c r="F127" s="139" t="s">
        <v>1464</v>
      </c>
      <c r="G127" s="140" t="s">
        <v>170</v>
      </c>
      <c r="H127" s="141">
        <v>0.019</v>
      </c>
      <c r="I127" s="142"/>
      <c r="J127" s="142">
        <f>ROUND(I127*H127,2)</f>
        <v>0</v>
      </c>
      <c r="K127" s="139" t="s">
        <v>157</v>
      </c>
      <c r="L127" s="32"/>
      <c r="M127" s="143" t="s">
        <v>3</v>
      </c>
      <c r="N127" s="144" t="s">
        <v>46</v>
      </c>
      <c r="O127" s="145">
        <v>0.329</v>
      </c>
      <c r="P127" s="145">
        <f>O127*H127</f>
        <v>0.0062510000000000005</v>
      </c>
      <c r="Q127" s="145">
        <v>0</v>
      </c>
      <c r="R127" s="145">
        <f>Q127*H127</f>
        <v>0</v>
      </c>
      <c r="S127" s="145">
        <v>0</v>
      </c>
      <c r="T127" s="146">
        <f>S127*H127</f>
        <v>0</v>
      </c>
      <c r="U127" s="31"/>
      <c r="V127" s="31"/>
      <c r="W127" s="31"/>
      <c r="X127" s="31"/>
      <c r="Y127" s="31"/>
      <c r="Z127" s="31"/>
      <c r="AA127" s="31"/>
      <c r="AB127" s="31"/>
      <c r="AC127" s="31"/>
      <c r="AD127" s="31"/>
      <c r="AE127" s="31"/>
      <c r="AR127" s="147" t="s">
        <v>218</v>
      </c>
      <c r="AT127" s="147" t="s">
        <v>147</v>
      </c>
      <c r="AU127" s="147" t="s">
        <v>85</v>
      </c>
      <c r="AY127" s="19" t="s">
        <v>144</v>
      </c>
      <c r="BE127" s="148">
        <f>IF(N127="základní",J127,0)</f>
        <v>0</v>
      </c>
      <c r="BF127" s="148">
        <f>IF(N127="snížená",J127,0)</f>
        <v>0</v>
      </c>
      <c r="BG127" s="148">
        <f>IF(N127="zákl. přenesená",J127,0)</f>
        <v>0</v>
      </c>
      <c r="BH127" s="148">
        <f>IF(N127="sníž. přenesená",J127,0)</f>
        <v>0</v>
      </c>
      <c r="BI127" s="148">
        <f>IF(N127="nulová",J127,0)</f>
        <v>0</v>
      </c>
      <c r="BJ127" s="19" t="s">
        <v>83</v>
      </c>
      <c r="BK127" s="148">
        <f>ROUND(I127*H127,2)</f>
        <v>0</v>
      </c>
      <c r="BL127" s="19" t="s">
        <v>218</v>
      </c>
      <c r="BM127" s="147" t="s">
        <v>1465</v>
      </c>
    </row>
    <row r="128" spans="1:47" s="2" customFormat="1" ht="126.75">
      <c r="A128" s="31"/>
      <c r="B128" s="32"/>
      <c r="C128" s="31"/>
      <c r="D128" s="150" t="s">
        <v>158</v>
      </c>
      <c r="E128" s="31"/>
      <c r="F128" s="163" t="s">
        <v>1188</v>
      </c>
      <c r="G128" s="31"/>
      <c r="H128" s="31"/>
      <c r="I128" s="31"/>
      <c r="J128" s="31"/>
      <c r="K128" s="31"/>
      <c r="L128" s="32"/>
      <c r="M128" s="164"/>
      <c r="N128" s="165"/>
      <c r="O128" s="52"/>
      <c r="P128" s="52"/>
      <c r="Q128" s="52"/>
      <c r="R128" s="52"/>
      <c r="S128" s="52"/>
      <c r="T128" s="53"/>
      <c r="U128" s="31"/>
      <c r="V128" s="31"/>
      <c r="W128" s="31"/>
      <c r="X128" s="31"/>
      <c r="Y128" s="31"/>
      <c r="Z128" s="31"/>
      <c r="AA128" s="31"/>
      <c r="AB128" s="31"/>
      <c r="AC128" s="31"/>
      <c r="AD128" s="31"/>
      <c r="AE128" s="31"/>
      <c r="AT128" s="19" t="s">
        <v>158</v>
      </c>
      <c r="AU128" s="19" t="s">
        <v>85</v>
      </c>
    </row>
    <row r="129" spans="1:65" s="2" customFormat="1" ht="37.9" customHeight="1">
      <c r="A129" s="31"/>
      <c r="B129" s="136"/>
      <c r="C129" s="137" t="s">
        <v>209</v>
      </c>
      <c r="D129" s="137" t="s">
        <v>147</v>
      </c>
      <c r="E129" s="138" t="s">
        <v>1466</v>
      </c>
      <c r="F129" s="139" t="s">
        <v>1467</v>
      </c>
      <c r="G129" s="140" t="s">
        <v>387</v>
      </c>
      <c r="H129" s="141">
        <f>SUM(J122:J127)/100</f>
        <v>0</v>
      </c>
      <c r="I129" s="142"/>
      <c r="J129" s="142">
        <f>ROUND(I129*H129,2)</f>
        <v>0</v>
      </c>
      <c r="K129" s="139" t="s">
        <v>157</v>
      </c>
      <c r="L129" s="32"/>
      <c r="M129" s="143" t="s">
        <v>3</v>
      </c>
      <c r="N129" s="144" t="s">
        <v>46</v>
      </c>
      <c r="O129" s="145">
        <v>0</v>
      </c>
      <c r="P129" s="145">
        <f>O129*H129</f>
        <v>0</v>
      </c>
      <c r="Q129" s="145">
        <v>0</v>
      </c>
      <c r="R129" s="145">
        <f>Q129*H129</f>
        <v>0</v>
      </c>
      <c r="S129" s="145">
        <v>0</v>
      </c>
      <c r="T129" s="146">
        <f>S129*H129</f>
        <v>0</v>
      </c>
      <c r="U129" s="31"/>
      <c r="V129" s="31"/>
      <c r="W129" s="31"/>
      <c r="X129" s="31"/>
      <c r="Y129" s="31"/>
      <c r="Z129" s="31"/>
      <c r="AA129" s="31"/>
      <c r="AB129" s="31"/>
      <c r="AC129" s="31"/>
      <c r="AD129" s="31"/>
      <c r="AE129" s="31"/>
      <c r="AR129" s="147" t="s">
        <v>218</v>
      </c>
      <c r="AT129" s="147" t="s">
        <v>147</v>
      </c>
      <c r="AU129" s="147" t="s">
        <v>85</v>
      </c>
      <c r="AY129" s="19" t="s">
        <v>144</v>
      </c>
      <c r="BE129" s="148">
        <f>IF(N129="základní",J129,0)</f>
        <v>0</v>
      </c>
      <c r="BF129" s="148">
        <f>IF(N129="snížená",J129,0)</f>
        <v>0</v>
      </c>
      <c r="BG129" s="148">
        <f>IF(N129="zákl. přenesená",J129,0)</f>
        <v>0</v>
      </c>
      <c r="BH129" s="148">
        <f>IF(N129="sníž. přenesená",J129,0)</f>
        <v>0</v>
      </c>
      <c r="BI129" s="148">
        <f>IF(N129="nulová",J129,0)</f>
        <v>0</v>
      </c>
      <c r="BJ129" s="19" t="s">
        <v>83</v>
      </c>
      <c r="BK129" s="148">
        <f>ROUND(I129*H129,2)</f>
        <v>0</v>
      </c>
      <c r="BL129" s="19" t="s">
        <v>218</v>
      </c>
      <c r="BM129" s="147" t="s">
        <v>1468</v>
      </c>
    </row>
    <row r="130" spans="1:47" s="2" customFormat="1" ht="126.75">
      <c r="A130" s="31"/>
      <c r="B130" s="32"/>
      <c r="C130" s="31"/>
      <c r="D130" s="150" t="s">
        <v>158</v>
      </c>
      <c r="E130" s="31"/>
      <c r="F130" s="163" t="s">
        <v>1188</v>
      </c>
      <c r="G130" s="31"/>
      <c r="H130" s="31"/>
      <c r="I130" s="31"/>
      <c r="J130" s="31"/>
      <c r="K130" s="31"/>
      <c r="L130" s="32"/>
      <c r="M130" s="164"/>
      <c r="N130" s="165"/>
      <c r="O130" s="52"/>
      <c r="P130" s="52"/>
      <c r="Q130" s="52"/>
      <c r="R130" s="52"/>
      <c r="S130" s="52"/>
      <c r="T130" s="53"/>
      <c r="U130" s="31"/>
      <c r="V130" s="31"/>
      <c r="W130" s="31"/>
      <c r="X130" s="31"/>
      <c r="Y130" s="31"/>
      <c r="Z130" s="31"/>
      <c r="AA130" s="31"/>
      <c r="AB130" s="31"/>
      <c r="AC130" s="31"/>
      <c r="AD130" s="31"/>
      <c r="AE130" s="31"/>
      <c r="AT130" s="19" t="s">
        <v>158</v>
      </c>
      <c r="AU130" s="19" t="s">
        <v>85</v>
      </c>
    </row>
    <row r="131" spans="2:63" s="12" customFormat="1" ht="22.9" customHeight="1">
      <c r="B131" s="124"/>
      <c r="D131" s="125" t="s">
        <v>74</v>
      </c>
      <c r="E131" s="134" t="s">
        <v>1469</v>
      </c>
      <c r="F131" s="134" t="s">
        <v>1470</v>
      </c>
      <c r="J131" s="135">
        <f>BK131</f>
        <v>0</v>
      </c>
      <c r="L131" s="124"/>
      <c r="M131" s="128"/>
      <c r="N131" s="129"/>
      <c r="O131" s="129"/>
      <c r="P131" s="130">
        <f>SUM(P132:P158)</f>
        <v>20.497624999999996</v>
      </c>
      <c r="Q131" s="129"/>
      <c r="R131" s="130">
        <f>SUM(R132:R158)</f>
        <v>0.0036922500000000002</v>
      </c>
      <c r="S131" s="129"/>
      <c r="T131" s="131">
        <f>SUM(T132:T158)</f>
        <v>0</v>
      </c>
      <c r="AR131" s="125" t="s">
        <v>85</v>
      </c>
      <c r="AT131" s="132" t="s">
        <v>74</v>
      </c>
      <c r="AU131" s="132" t="s">
        <v>83</v>
      </c>
      <c r="AY131" s="125" t="s">
        <v>144</v>
      </c>
      <c r="BK131" s="133">
        <f>SUM(BK132:BK158)</f>
        <v>0</v>
      </c>
    </row>
    <row r="132" spans="1:65" s="2" customFormat="1" ht="24.2" customHeight="1">
      <c r="A132" s="31"/>
      <c r="B132" s="136"/>
      <c r="C132" s="137" t="s">
        <v>222</v>
      </c>
      <c r="D132" s="137" t="s">
        <v>147</v>
      </c>
      <c r="E132" s="138" t="s">
        <v>1471</v>
      </c>
      <c r="F132" s="139" t="s">
        <v>1472</v>
      </c>
      <c r="G132" s="140" t="s">
        <v>156</v>
      </c>
      <c r="H132" s="141">
        <v>9</v>
      </c>
      <c r="I132" s="142"/>
      <c r="J132" s="142">
        <f>ROUND(I132*H132,2)</f>
        <v>0</v>
      </c>
      <c r="K132" s="139" t="s">
        <v>157</v>
      </c>
      <c r="L132" s="32"/>
      <c r="M132" s="143" t="s">
        <v>3</v>
      </c>
      <c r="N132" s="144" t="s">
        <v>46</v>
      </c>
      <c r="O132" s="145">
        <v>0.483</v>
      </c>
      <c r="P132" s="145">
        <f>O132*H132</f>
        <v>4.3469999999999995</v>
      </c>
      <c r="Q132" s="145">
        <v>0</v>
      </c>
      <c r="R132" s="145">
        <f>Q132*H132</f>
        <v>0</v>
      </c>
      <c r="S132" s="145">
        <v>0</v>
      </c>
      <c r="T132" s="146">
        <f>S132*H132</f>
        <v>0</v>
      </c>
      <c r="U132" s="31"/>
      <c r="V132" s="31"/>
      <c r="W132" s="31"/>
      <c r="X132" s="31"/>
      <c r="Y132" s="31"/>
      <c r="Z132" s="31"/>
      <c r="AA132" s="31"/>
      <c r="AB132" s="31"/>
      <c r="AC132" s="31"/>
      <c r="AD132" s="31"/>
      <c r="AE132" s="31"/>
      <c r="AR132" s="147" t="s">
        <v>218</v>
      </c>
      <c r="AT132" s="147" t="s">
        <v>147</v>
      </c>
      <c r="AU132" s="147" t="s">
        <v>85</v>
      </c>
      <c r="AY132" s="19" t="s">
        <v>144</v>
      </c>
      <c r="BE132" s="148">
        <f>IF(N132="základní",J132,0)</f>
        <v>0</v>
      </c>
      <c r="BF132" s="148">
        <f>IF(N132="snížená",J132,0)</f>
        <v>0</v>
      </c>
      <c r="BG132" s="148">
        <f>IF(N132="zákl. přenesená",J132,0)</f>
        <v>0</v>
      </c>
      <c r="BH132" s="148">
        <f>IF(N132="sníž. přenesená",J132,0)</f>
        <v>0</v>
      </c>
      <c r="BI132" s="148">
        <f>IF(N132="nulová",J132,0)</f>
        <v>0</v>
      </c>
      <c r="BJ132" s="19" t="s">
        <v>83</v>
      </c>
      <c r="BK132" s="148">
        <f>ROUND(I132*H132,2)</f>
        <v>0</v>
      </c>
      <c r="BL132" s="19" t="s">
        <v>218</v>
      </c>
      <c r="BM132" s="147" t="s">
        <v>1473</v>
      </c>
    </row>
    <row r="133" spans="2:51" s="13" customFormat="1" ht="12">
      <c r="B133" s="149"/>
      <c r="D133" s="150" t="s">
        <v>154</v>
      </c>
      <c r="E133" s="151" t="s">
        <v>3</v>
      </c>
      <c r="F133" s="152" t="s">
        <v>1454</v>
      </c>
      <c r="H133" s="151" t="s">
        <v>3</v>
      </c>
      <c r="L133" s="149"/>
      <c r="M133" s="153"/>
      <c r="N133" s="154"/>
      <c r="O133" s="154"/>
      <c r="P133" s="154"/>
      <c r="Q133" s="154"/>
      <c r="R133" s="154"/>
      <c r="S133" s="154"/>
      <c r="T133" s="155"/>
      <c r="AT133" s="151" t="s">
        <v>154</v>
      </c>
      <c r="AU133" s="151" t="s">
        <v>85</v>
      </c>
      <c r="AV133" s="13" t="s">
        <v>83</v>
      </c>
      <c r="AW133" s="13" t="s">
        <v>37</v>
      </c>
      <c r="AX133" s="13" t="s">
        <v>75</v>
      </c>
      <c r="AY133" s="151" t="s">
        <v>144</v>
      </c>
    </row>
    <row r="134" spans="2:51" s="14" customFormat="1" ht="12">
      <c r="B134" s="156"/>
      <c r="D134" s="150" t="s">
        <v>154</v>
      </c>
      <c r="E134" s="157" t="s">
        <v>3</v>
      </c>
      <c r="F134" s="158" t="s">
        <v>1474</v>
      </c>
      <c r="H134" s="159">
        <v>9</v>
      </c>
      <c r="L134" s="156"/>
      <c r="M134" s="160"/>
      <c r="N134" s="161"/>
      <c r="O134" s="161"/>
      <c r="P134" s="161"/>
      <c r="Q134" s="161"/>
      <c r="R134" s="161"/>
      <c r="S134" s="161"/>
      <c r="T134" s="162"/>
      <c r="AT134" s="157" t="s">
        <v>154</v>
      </c>
      <c r="AU134" s="157" t="s">
        <v>85</v>
      </c>
      <c r="AV134" s="14" t="s">
        <v>85</v>
      </c>
      <c r="AW134" s="14" t="s">
        <v>37</v>
      </c>
      <c r="AX134" s="14" t="s">
        <v>83</v>
      </c>
      <c r="AY134" s="157" t="s">
        <v>144</v>
      </c>
    </row>
    <row r="135" spans="1:65" s="2" customFormat="1" ht="49.15" customHeight="1">
      <c r="A135" s="31"/>
      <c r="B135" s="136"/>
      <c r="C135" s="173" t="s">
        <v>223</v>
      </c>
      <c r="D135" s="173" t="s">
        <v>174</v>
      </c>
      <c r="E135" s="174" t="s">
        <v>1475</v>
      </c>
      <c r="F135" s="175" t="s">
        <v>1476</v>
      </c>
      <c r="G135" s="176" t="s">
        <v>156</v>
      </c>
      <c r="H135" s="177">
        <v>9</v>
      </c>
      <c r="I135" s="178"/>
      <c r="J135" s="178">
        <f>ROUND(I135*H135,2)</f>
        <v>0</v>
      </c>
      <c r="K135" s="175" t="s">
        <v>151</v>
      </c>
      <c r="L135" s="179"/>
      <c r="M135" s="180" t="s">
        <v>3</v>
      </c>
      <c r="N135" s="181" t="s">
        <v>46</v>
      </c>
      <c r="O135" s="145">
        <v>0</v>
      </c>
      <c r="P135" s="145">
        <f>O135*H135</f>
        <v>0</v>
      </c>
      <c r="Q135" s="145">
        <v>0</v>
      </c>
      <c r="R135" s="145">
        <f>Q135*H135</f>
        <v>0</v>
      </c>
      <c r="S135" s="145">
        <v>0</v>
      </c>
      <c r="T135" s="146">
        <f>S135*H135</f>
        <v>0</v>
      </c>
      <c r="U135" s="31"/>
      <c r="V135" s="31"/>
      <c r="W135" s="31"/>
      <c r="X135" s="31"/>
      <c r="Y135" s="31"/>
      <c r="Z135" s="31"/>
      <c r="AA135" s="31"/>
      <c r="AB135" s="31"/>
      <c r="AC135" s="31"/>
      <c r="AD135" s="31"/>
      <c r="AE135" s="31"/>
      <c r="AR135" s="147" t="s">
        <v>248</v>
      </c>
      <c r="AT135" s="147" t="s">
        <v>174</v>
      </c>
      <c r="AU135" s="147" t="s">
        <v>85</v>
      </c>
      <c r="AY135" s="19" t="s">
        <v>144</v>
      </c>
      <c r="BE135" s="148">
        <f>IF(N135="základní",J135,0)</f>
        <v>0</v>
      </c>
      <c r="BF135" s="148">
        <f>IF(N135="snížená",J135,0)</f>
        <v>0</v>
      </c>
      <c r="BG135" s="148">
        <f>IF(N135="zákl. přenesená",J135,0)</f>
        <v>0</v>
      </c>
      <c r="BH135" s="148">
        <f>IF(N135="sníž. přenesená",J135,0)</f>
        <v>0</v>
      </c>
      <c r="BI135" s="148">
        <f>IF(N135="nulová",J135,0)</f>
        <v>0</v>
      </c>
      <c r="BJ135" s="19" t="s">
        <v>83</v>
      </c>
      <c r="BK135" s="148">
        <f>ROUND(I135*H135,2)</f>
        <v>0</v>
      </c>
      <c r="BL135" s="19" t="s">
        <v>218</v>
      </c>
      <c r="BM135" s="147" t="s">
        <v>1477</v>
      </c>
    </row>
    <row r="136" spans="1:65" s="2" customFormat="1" ht="24.2" customHeight="1">
      <c r="A136" s="31"/>
      <c r="B136" s="136"/>
      <c r="C136" s="137" t="s">
        <v>224</v>
      </c>
      <c r="D136" s="137" t="s">
        <v>147</v>
      </c>
      <c r="E136" s="138" t="s">
        <v>1478</v>
      </c>
      <c r="F136" s="139" t="s">
        <v>1479</v>
      </c>
      <c r="G136" s="140" t="s">
        <v>156</v>
      </c>
      <c r="H136" s="141">
        <f>H138</f>
        <v>7</v>
      </c>
      <c r="I136" s="142"/>
      <c r="J136" s="142">
        <f>ROUND(I136*H136,2)</f>
        <v>0</v>
      </c>
      <c r="K136" s="139" t="s">
        <v>157</v>
      </c>
      <c r="L136" s="32"/>
      <c r="M136" s="143" t="s">
        <v>3</v>
      </c>
      <c r="N136" s="144" t="s">
        <v>46</v>
      </c>
      <c r="O136" s="145">
        <v>0.677</v>
      </c>
      <c r="P136" s="145">
        <f>O136*H136</f>
        <v>4.739000000000001</v>
      </c>
      <c r="Q136" s="145">
        <v>0</v>
      </c>
      <c r="R136" s="145">
        <f>Q136*H136</f>
        <v>0</v>
      </c>
      <c r="S136" s="145">
        <v>0</v>
      </c>
      <c r="T136" s="146">
        <f>S136*H136</f>
        <v>0</v>
      </c>
      <c r="U136" s="31"/>
      <c r="V136" s="31"/>
      <c r="W136" s="31"/>
      <c r="X136" s="31"/>
      <c r="Y136" s="31"/>
      <c r="Z136" s="31"/>
      <c r="AA136" s="31"/>
      <c r="AB136" s="31"/>
      <c r="AC136" s="31"/>
      <c r="AD136" s="31"/>
      <c r="AE136" s="31"/>
      <c r="AR136" s="147" t="s">
        <v>218</v>
      </c>
      <c r="AT136" s="147" t="s">
        <v>147</v>
      </c>
      <c r="AU136" s="147" t="s">
        <v>85</v>
      </c>
      <c r="AY136" s="19" t="s">
        <v>144</v>
      </c>
      <c r="BE136" s="148">
        <f>IF(N136="základní",J136,0)</f>
        <v>0</v>
      </c>
      <c r="BF136" s="148">
        <f>IF(N136="snížená",J136,0)</f>
        <v>0</v>
      </c>
      <c r="BG136" s="148">
        <f>IF(N136="zákl. přenesená",J136,0)</f>
        <v>0</v>
      </c>
      <c r="BH136" s="148">
        <f>IF(N136="sníž. přenesená",J136,0)</f>
        <v>0</v>
      </c>
      <c r="BI136" s="148">
        <f>IF(N136="nulová",J136,0)</f>
        <v>0</v>
      </c>
      <c r="BJ136" s="19" t="s">
        <v>83</v>
      </c>
      <c r="BK136" s="148">
        <f>ROUND(I136*H136,2)</f>
        <v>0</v>
      </c>
      <c r="BL136" s="19" t="s">
        <v>218</v>
      </c>
      <c r="BM136" s="147" t="s">
        <v>1480</v>
      </c>
    </row>
    <row r="137" spans="2:51" s="13" customFormat="1" ht="12">
      <c r="B137" s="149"/>
      <c r="D137" s="150" t="s">
        <v>154</v>
      </c>
      <c r="E137" s="151" t="s">
        <v>3</v>
      </c>
      <c r="F137" s="152" t="s">
        <v>216</v>
      </c>
      <c r="H137" s="151" t="s">
        <v>3</v>
      </c>
      <c r="L137" s="149"/>
      <c r="M137" s="153"/>
      <c r="N137" s="154"/>
      <c r="O137" s="154"/>
      <c r="P137" s="154"/>
      <c r="Q137" s="154"/>
      <c r="R137" s="154"/>
      <c r="S137" s="154"/>
      <c r="T137" s="155"/>
      <c r="AT137" s="151" t="s">
        <v>154</v>
      </c>
      <c r="AU137" s="151" t="s">
        <v>85</v>
      </c>
      <c r="AV137" s="13" t="s">
        <v>83</v>
      </c>
      <c r="AW137" s="13" t="s">
        <v>37</v>
      </c>
      <c r="AX137" s="13" t="s">
        <v>75</v>
      </c>
      <c r="AY137" s="151" t="s">
        <v>144</v>
      </c>
    </row>
    <row r="138" spans="2:51" s="14" customFormat="1" ht="12">
      <c r="B138" s="156"/>
      <c r="D138" s="150" t="s">
        <v>154</v>
      </c>
      <c r="E138" s="157" t="s">
        <v>3</v>
      </c>
      <c r="F138" s="158" t="s">
        <v>1787</v>
      </c>
      <c r="H138" s="159">
        <f>H91</f>
        <v>7</v>
      </c>
      <c r="L138" s="156"/>
      <c r="M138" s="160"/>
      <c r="N138" s="161"/>
      <c r="O138" s="161"/>
      <c r="P138" s="161"/>
      <c r="Q138" s="161"/>
      <c r="R138" s="161"/>
      <c r="S138" s="161"/>
      <c r="T138" s="162"/>
      <c r="AT138" s="157" t="s">
        <v>154</v>
      </c>
      <c r="AU138" s="157" t="s">
        <v>85</v>
      </c>
      <c r="AV138" s="14" t="s">
        <v>85</v>
      </c>
      <c r="AW138" s="14" t="s">
        <v>37</v>
      </c>
      <c r="AX138" s="14" t="s">
        <v>83</v>
      </c>
      <c r="AY138" s="157" t="s">
        <v>144</v>
      </c>
    </row>
    <row r="139" spans="1:65" s="2" customFormat="1" ht="24.2" customHeight="1">
      <c r="A139" s="31"/>
      <c r="B139" s="136"/>
      <c r="C139" s="173" t="s">
        <v>225</v>
      </c>
      <c r="D139" s="173" t="s">
        <v>174</v>
      </c>
      <c r="E139" s="174" t="s">
        <v>1481</v>
      </c>
      <c r="F139" s="175" t="s">
        <v>1482</v>
      </c>
      <c r="G139" s="176" t="s">
        <v>156</v>
      </c>
      <c r="H139" s="177">
        <f>H136</f>
        <v>7</v>
      </c>
      <c r="I139" s="178"/>
      <c r="J139" s="178">
        <f>ROUND(I139*H139,2)</f>
        <v>0</v>
      </c>
      <c r="K139" s="175" t="s">
        <v>151</v>
      </c>
      <c r="L139" s="179"/>
      <c r="M139" s="180" t="s">
        <v>3</v>
      </c>
      <c r="N139" s="181" t="s">
        <v>46</v>
      </c>
      <c r="O139" s="145">
        <v>0</v>
      </c>
      <c r="P139" s="145">
        <f>O139*H139</f>
        <v>0</v>
      </c>
      <c r="Q139" s="145">
        <v>0</v>
      </c>
      <c r="R139" s="145">
        <f>Q139*H139</f>
        <v>0</v>
      </c>
      <c r="S139" s="145">
        <v>0</v>
      </c>
      <c r="T139" s="146">
        <f>S139*H139</f>
        <v>0</v>
      </c>
      <c r="U139" s="31"/>
      <c r="V139" s="31"/>
      <c r="W139" s="31"/>
      <c r="X139" s="31"/>
      <c r="Y139" s="31"/>
      <c r="Z139" s="31"/>
      <c r="AA139" s="31"/>
      <c r="AB139" s="31"/>
      <c r="AC139" s="31"/>
      <c r="AD139" s="31"/>
      <c r="AE139" s="31"/>
      <c r="AR139" s="147" t="s">
        <v>248</v>
      </c>
      <c r="AT139" s="147" t="s">
        <v>174</v>
      </c>
      <c r="AU139" s="147" t="s">
        <v>85</v>
      </c>
      <c r="AY139" s="19" t="s">
        <v>144</v>
      </c>
      <c r="BE139" s="148">
        <f>IF(N139="základní",J139,0)</f>
        <v>0</v>
      </c>
      <c r="BF139" s="148">
        <f>IF(N139="snížená",J139,0)</f>
        <v>0</v>
      </c>
      <c r="BG139" s="148">
        <f>IF(N139="zákl. přenesená",J139,0)</f>
        <v>0</v>
      </c>
      <c r="BH139" s="148">
        <f>IF(N139="sníž. přenesená",J139,0)</f>
        <v>0</v>
      </c>
      <c r="BI139" s="148">
        <f>IF(N139="nulová",J139,0)</f>
        <v>0</v>
      </c>
      <c r="BJ139" s="19" t="s">
        <v>83</v>
      </c>
      <c r="BK139" s="148">
        <f>ROUND(I139*H139,2)</f>
        <v>0</v>
      </c>
      <c r="BL139" s="19" t="s">
        <v>218</v>
      </c>
      <c r="BM139" s="147" t="s">
        <v>1483</v>
      </c>
    </row>
    <row r="140" spans="1:47" s="2" customFormat="1" ht="29.25">
      <c r="A140" s="31"/>
      <c r="B140" s="32"/>
      <c r="C140" s="31"/>
      <c r="D140" s="150" t="s">
        <v>270</v>
      </c>
      <c r="E140" s="31"/>
      <c r="F140" s="163" t="s">
        <v>1484</v>
      </c>
      <c r="G140" s="31"/>
      <c r="H140" s="31"/>
      <c r="I140" s="31"/>
      <c r="J140" s="31"/>
      <c r="K140" s="31"/>
      <c r="L140" s="32"/>
      <c r="M140" s="164"/>
      <c r="N140" s="165"/>
      <c r="O140" s="52"/>
      <c r="P140" s="52"/>
      <c r="Q140" s="52"/>
      <c r="R140" s="52"/>
      <c r="S140" s="52"/>
      <c r="T140" s="53"/>
      <c r="U140" s="31"/>
      <c r="V140" s="31"/>
      <c r="W140" s="31"/>
      <c r="X140" s="31"/>
      <c r="Y140" s="31"/>
      <c r="Z140" s="31"/>
      <c r="AA140" s="31"/>
      <c r="AB140" s="31"/>
      <c r="AC140" s="31"/>
      <c r="AD140" s="31"/>
      <c r="AE140" s="31"/>
      <c r="AT140" s="19" t="s">
        <v>270</v>
      </c>
      <c r="AU140" s="19" t="s">
        <v>85</v>
      </c>
    </row>
    <row r="141" spans="1:65" s="2" customFormat="1" ht="37.9" customHeight="1">
      <c r="A141" s="31"/>
      <c r="B141" s="136"/>
      <c r="C141" s="137" t="s">
        <v>8</v>
      </c>
      <c r="D141" s="137" t="s">
        <v>147</v>
      </c>
      <c r="E141" s="138" t="s">
        <v>1485</v>
      </c>
      <c r="F141" s="139" t="s">
        <v>1486</v>
      </c>
      <c r="G141" s="140" t="s">
        <v>156</v>
      </c>
      <c r="H141" s="141">
        <v>3</v>
      </c>
      <c r="I141" s="142"/>
      <c r="J141" s="142">
        <f>ROUND(I141*H141,2)</f>
        <v>0</v>
      </c>
      <c r="K141" s="139" t="s">
        <v>157</v>
      </c>
      <c r="L141" s="32"/>
      <c r="M141" s="143" t="s">
        <v>3</v>
      </c>
      <c r="N141" s="144" t="s">
        <v>46</v>
      </c>
      <c r="O141" s="145">
        <v>0.677</v>
      </c>
      <c r="P141" s="145">
        <f>O141*H141</f>
        <v>2.031</v>
      </c>
      <c r="Q141" s="145">
        <v>0</v>
      </c>
      <c r="R141" s="145">
        <f>Q141*H141</f>
        <v>0</v>
      </c>
      <c r="S141" s="145">
        <v>0</v>
      </c>
      <c r="T141" s="146">
        <f>S141*H141</f>
        <v>0</v>
      </c>
      <c r="U141" s="31"/>
      <c r="V141" s="31"/>
      <c r="W141" s="31"/>
      <c r="X141" s="31"/>
      <c r="Y141" s="31"/>
      <c r="Z141" s="31"/>
      <c r="AA141" s="31"/>
      <c r="AB141" s="31"/>
      <c r="AC141" s="31"/>
      <c r="AD141" s="31"/>
      <c r="AE141" s="31"/>
      <c r="AR141" s="147" t="s">
        <v>218</v>
      </c>
      <c r="AT141" s="147" t="s">
        <v>147</v>
      </c>
      <c r="AU141" s="147" t="s">
        <v>85</v>
      </c>
      <c r="AY141" s="19" t="s">
        <v>144</v>
      </c>
      <c r="BE141" s="148">
        <f>IF(N141="základní",J141,0)</f>
        <v>0</v>
      </c>
      <c r="BF141" s="148">
        <f>IF(N141="snížená",J141,0)</f>
        <v>0</v>
      </c>
      <c r="BG141" s="148">
        <f>IF(N141="zákl. přenesená",J141,0)</f>
        <v>0</v>
      </c>
      <c r="BH141" s="148">
        <f>IF(N141="sníž. přenesená",J141,0)</f>
        <v>0</v>
      </c>
      <c r="BI141" s="148">
        <f>IF(N141="nulová",J141,0)</f>
        <v>0</v>
      </c>
      <c r="BJ141" s="19" t="s">
        <v>83</v>
      </c>
      <c r="BK141" s="148">
        <f>ROUND(I141*H141,2)</f>
        <v>0</v>
      </c>
      <c r="BL141" s="19" t="s">
        <v>218</v>
      </c>
      <c r="BM141" s="147" t="s">
        <v>1487</v>
      </c>
    </row>
    <row r="142" spans="2:51" s="13" customFormat="1" ht="12">
      <c r="B142" s="149"/>
      <c r="D142" s="150" t="s">
        <v>154</v>
      </c>
      <c r="E142" s="151" t="s">
        <v>3</v>
      </c>
      <c r="F142" s="152" t="s">
        <v>1454</v>
      </c>
      <c r="H142" s="151" t="s">
        <v>3</v>
      </c>
      <c r="L142" s="149"/>
      <c r="M142" s="153"/>
      <c r="N142" s="154"/>
      <c r="O142" s="154"/>
      <c r="P142" s="154"/>
      <c r="Q142" s="154"/>
      <c r="R142" s="154"/>
      <c r="S142" s="154"/>
      <c r="T142" s="155"/>
      <c r="AT142" s="151" t="s">
        <v>154</v>
      </c>
      <c r="AU142" s="151" t="s">
        <v>85</v>
      </c>
      <c r="AV142" s="13" t="s">
        <v>83</v>
      </c>
      <c r="AW142" s="13" t="s">
        <v>37</v>
      </c>
      <c r="AX142" s="13" t="s">
        <v>75</v>
      </c>
      <c r="AY142" s="151" t="s">
        <v>144</v>
      </c>
    </row>
    <row r="143" spans="2:51" s="14" customFormat="1" ht="12">
      <c r="B143" s="156"/>
      <c r="D143" s="150" t="s">
        <v>154</v>
      </c>
      <c r="E143" s="157" t="s">
        <v>3</v>
      </c>
      <c r="F143" s="158" t="s">
        <v>1488</v>
      </c>
      <c r="H143" s="159">
        <v>3</v>
      </c>
      <c r="L143" s="156"/>
      <c r="M143" s="160"/>
      <c r="N143" s="161"/>
      <c r="O143" s="161"/>
      <c r="P143" s="161"/>
      <c r="Q143" s="161"/>
      <c r="R143" s="161"/>
      <c r="S143" s="161"/>
      <c r="T143" s="162"/>
      <c r="AT143" s="157" t="s">
        <v>154</v>
      </c>
      <c r="AU143" s="157" t="s">
        <v>85</v>
      </c>
      <c r="AV143" s="14" t="s">
        <v>85</v>
      </c>
      <c r="AW143" s="14" t="s">
        <v>37</v>
      </c>
      <c r="AX143" s="14" t="s">
        <v>83</v>
      </c>
      <c r="AY143" s="157" t="s">
        <v>144</v>
      </c>
    </row>
    <row r="144" spans="1:65" s="2" customFormat="1" ht="24.2" customHeight="1">
      <c r="A144" s="31"/>
      <c r="B144" s="136"/>
      <c r="C144" s="173" t="s">
        <v>226</v>
      </c>
      <c r="D144" s="173" t="s">
        <v>174</v>
      </c>
      <c r="E144" s="174" t="s">
        <v>1489</v>
      </c>
      <c r="F144" s="175" t="s">
        <v>1490</v>
      </c>
      <c r="G144" s="176" t="s">
        <v>156</v>
      </c>
      <c r="H144" s="177">
        <v>3</v>
      </c>
      <c r="I144" s="178"/>
      <c r="J144" s="178">
        <f>ROUND(I144*H144,2)</f>
        <v>0</v>
      </c>
      <c r="K144" s="175" t="s">
        <v>151</v>
      </c>
      <c r="L144" s="179"/>
      <c r="M144" s="180" t="s">
        <v>3</v>
      </c>
      <c r="N144" s="181" t="s">
        <v>46</v>
      </c>
      <c r="O144" s="145">
        <v>0</v>
      </c>
      <c r="P144" s="145">
        <f>O144*H144</f>
        <v>0</v>
      </c>
      <c r="Q144" s="145">
        <v>0</v>
      </c>
      <c r="R144" s="145">
        <f>Q144*H144</f>
        <v>0</v>
      </c>
      <c r="S144" s="145">
        <v>0</v>
      </c>
      <c r="T144" s="146">
        <f>S144*H144</f>
        <v>0</v>
      </c>
      <c r="U144" s="31"/>
      <c r="V144" s="31"/>
      <c r="W144" s="31"/>
      <c r="X144" s="31"/>
      <c r="Y144" s="31"/>
      <c r="Z144" s="31"/>
      <c r="AA144" s="31"/>
      <c r="AB144" s="31"/>
      <c r="AC144" s="31"/>
      <c r="AD144" s="31"/>
      <c r="AE144" s="31"/>
      <c r="AR144" s="147" t="s">
        <v>248</v>
      </c>
      <c r="AT144" s="147" t="s">
        <v>174</v>
      </c>
      <c r="AU144" s="147" t="s">
        <v>85</v>
      </c>
      <c r="AY144" s="19" t="s">
        <v>144</v>
      </c>
      <c r="BE144" s="148">
        <f>IF(N144="základní",J144,0)</f>
        <v>0</v>
      </c>
      <c r="BF144" s="148">
        <f>IF(N144="snížená",J144,0)</f>
        <v>0</v>
      </c>
      <c r="BG144" s="148">
        <f>IF(N144="zákl. přenesená",J144,0)</f>
        <v>0</v>
      </c>
      <c r="BH144" s="148">
        <f>IF(N144="sníž. přenesená",J144,0)</f>
        <v>0</v>
      </c>
      <c r="BI144" s="148">
        <f>IF(N144="nulová",J144,0)</f>
        <v>0</v>
      </c>
      <c r="BJ144" s="19" t="s">
        <v>83</v>
      </c>
      <c r="BK144" s="148">
        <f>ROUND(I144*H144,2)</f>
        <v>0</v>
      </c>
      <c r="BL144" s="19" t="s">
        <v>218</v>
      </c>
      <c r="BM144" s="147" t="s">
        <v>1491</v>
      </c>
    </row>
    <row r="145" spans="1:65" s="2" customFormat="1" ht="24.2" customHeight="1">
      <c r="A145" s="31"/>
      <c r="B145" s="136"/>
      <c r="C145" s="137" t="s">
        <v>227</v>
      </c>
      <c r="D145" s="137" t="s">
        <v>147</v>
      </c>
      <c r="E145" s="138" t="s">
        <v>1492</v>
      </c>
      <c r="F145" s="139" t="s">
        <v>1493</v>
      </c>
      <c r="G145" s="140" t="s">
        <v>201</v>
      </c>
      <c r="H145" s="141">
        <f>H147</f>
        <v>13.424999999999999</v>
      </c>
      <c r="I145" s="142"/>
      <c r="J145" s="142">
        <f>ROUND(I145*H145,2)</f>
        <v>0</v>
      </c>
      <c r="K145" s="139" t="s">
        <v>157</v>
      </c>
      <c r="L145" s="32"/>
      <c r="M145" s="143" t="s">
        <v>3</v>
      </c>
      <c r="N145" s="144" t="s">
        <v>46</v>
      </c>
      <c r="O145" s="145">
        <v>0.385</v>
      </c>
      <c r="P145" s="145">
        <f>O145*H145</f>
        <v>5.168625</v>
      </c>
      <c r="Q145" s="145">
        <v>0</v>
      </c>
      <c r="R145" s="145">
        <f>Q145*H145</f>
        <v>0</v>
      </c>
      <c r="S145" s="145">
        <v>0</v>
      </c>
      <c r="T145" s="146">
        <f>S145*H145</f>
        <v>0</v>
      </c>
      <c r="U145" s="31"/>
      <c r="V145" s="31"/>
      <c r="W145" s="31"/>
      <c r="X145" s="31"/>
      <c r="Y145" s="31"/>
      <c r="Z145" s="31"/>
      <c r="AA145" s="31"/>
      <c r="AB145" s="31"/>
      <c r="AC145" s="31"/>
      <c r="AD145" s="31"/>
      <c r="AE145" s="31"/>
      <c r="AR145" s="147" t="s">
        <v>218</v>
      </c>
      <c r="AT145" s="147" t="s">
        <v>147</v>
      </c>
      <c r="AU145" s="147" t="s">
        <v>85</v>
      </c>
      <c r="AY145" s="19" t="s">
        <v>144</v>
      </c>
      <c r="BE145" s="148">
        <f>IF(N145="základní",J145,0)</f>
        <v>0</v>
      </c>
      <c r="BF145" s="148">
        <f>IF(N145="snížená",J145,0)</f>
        <v>0</v>
      </c>
      <c r="BG145" s="148">
        <f>IF(N145="zákl. přenesená",J145,0)</f>
        <v>0</v>
      </c>
      <c r="BH145" s="148">
        <f>IF(N145="sníž. přenesená",J145,0)</f>
        <v>0</v>
      </c>
      <c r="BI145" s="148">
        <f>IF(N145="nulová",J145,0)</f>
        <v>0</v>
      </c>
      <c r="BJ145" s="19" t="s">
        <v>83</v>
      </c>
      <c r="BK145" s="148">
        <f>ROUND(I145*H145,2)</f>
        <v>0</v>
      </c>
      <c r="BL145" s="19" t="s">
        <v>218</v>
      </c>
      <c r="BM145" s="147" t="s">
        <v>1494</v>
      </c>
    </row>
    <row r="146" spans="2:51" s="13" customFormat="1" ht="12">
      <c r="B146" s="149"/>
      <c r="D146" s="150" t="s">
        <v>154</v>
      </c>
      <c r="E146" s="151" t="s">
        <v>3</v>
      </c>
      <c r="F146" s="152" t="s">
        <v>1454</v>
      </c>
      <c r="H146" s="151" t="s">
        <v>3</v>
      </c>
      <c r="L146" s="149"/>
      <c r="M146" s="153"/>
      <c r="N146" s="154"/>
      <c r="O146" s="154"/>
      <c r="P146" s="154"/>
      <c r="Q146" s="154"/>
      <c r="R146" s="154"/>
      <c r="S146" s="154"/>
      <c r="T146" s="155"/>
      <c r="AT146" s="151" t="s">
        <v>154</v>
      </c>
      <c r="AU146" s="151" t="s">
        <v>85</v>
      </c>
      <c r="AV146" s="13" t="s">
        <v>83</v>
      </c>
      <c r="AW146" s="13" t="s">
        <v>37</v>
      </c>
      <c r="AX146" s="13" t="s">
        <v>75</v>
      </c>
      <c r="AY146" s="151" t="s">
        <v>144</v>
      </c>
    </row>
    <row r="147" spans="2:51" s="14" customFormat="1" ht="12">
      <c r="B147" s="156"/>
      <c r="D147" s="150" t="s">
        <v>154</v>
      </c>
      <c r="E147" s="157" t="s">
        <v>3</v>
      </c>
      <c r="F147" s="158" t="s">
        <v>1792</v>
      </c>
      <c r="H147" s="159">
        <f>2.4+0.3+1+1+0.55+0.55+0.875+3.25+0.25+0.25+3</f>
        <v>13.424999999999999</v>
      </c>
      <c r="L147" s="156"/>
      <c r="M147" s="160"/>
      <c r="N147" s="161"/>
      <c r="O147" s="161"/>
      <c r="P147" s="161"/>
      <c r="Q147" s="161"/>
      <c r="R147" s="161"/>
      <c r="S147" s="161"/>
      <c r="T147" s="162"/>
      <c r="AT147" s="157" t="s">
        <v>154</v>
      </c>
      <c r="AU147" s="157" t="s">
        <v>85</v>
      </c>
      <c r="AV147" s="14" t="s">
        <v>85</v>
      </c>
      <c r="AW147" s="14" t="s">
        <v>37</v>
      </c>
      <c r="AX147" s="14" t="s">
        <v>83</v>
      </c>
      <c r="AY147" s="157" t="s">
        <v>144</v>
      </c>
    </row>
    <row r="148" spans="1:65" s="2" customFormat="1" ht="49.15" customHeight="1">
      <c r="A148" s="31"/>
      <c r="B148" s="136"/>
      <c r="C148" s="173" t="s">
        <v>228</v>
      </c>
      <c r="D148" s="173" t="s">
        <v>174</v>
      </c>
      <c r="E148" s="174" t="s">
        <v>1495</v>
      </c>
      <c r="F148" s="175" t="s">
        <v>1496</v>
      </c>
      <c r="G148" s="176" t="s">
        <v>201</v>
      </c>
      <c r="H148" s="177">
        <f>H149</f>
        <v>16.78125</v>
      </c>
      <c r="I148" s="178"/>
      <c r="J148" s="178">
        <f>ROUND(I148*H148,2)</f>
        <v>0</v>
      </c>
      <c r="K148" s="175" t="s">
        <v>151</v>
      </c>
      <c r="L148" s="179"/>
      <c r="M148" s="180" t="s">
        <v>3</v>
      </c>
      <c r="N148" s="181" t="s">
        <v>46</v>
      </c>
      <c r="O148" s="145">
        <v>0</v>
      </c>
      <c r="P148" s="145">
        <f>O148*H148</f>
        <v>0</v>
      </c>
      <c r="Q148" s="145">
        <v>0</v>
      </c>
      <c r="R148" s="145">
        <f>Q148*H148</f>
        <v>0</v>
      </c>
      <c r="S148" s="145">
        <v>0</v>
      </c>
      <c r="T148" s="146">
        <f>S148*H148</f>
        <v>0</v>
      </c>
      <c r="U148" s="31"/>
      <c r="V148" s="31"/>
      <c r="W148" s="31"/>
      <c r="X148" s="31"/>
      <c r="Y148" s="31"/>
      <c r="Z148" s="31"/>
      <c r="AA148" s="31"/>
      <c r="AB148" s="31"/>
      <c r="AC148" s="31"/>
      <c r="AD148" s="31"/>
      <c r="AE148" s="31"/>
      <c r="AR148" s="147" t="s">
        <v>248</v>
      </c>
      <c r="AT148" s="147" t="s">
        <v>174</v>
      </c>
      <c r="AU148" s="147" t="s">
        <v>85</v>
      </c>
      <c r="AY148" s="19" t="s">
        <v>144</v>
      </c>
      <c r="BE148" s="148">
        <f>IF(N148="základní",J148,0)</f>
        <v>0</v>
      </c>
      <c r="BF148" s="148">
        <f>IF(N148="snížená",J148,0)</f>
        <v>0</v>
      </c>
      <c r="BG148" s="148">
        <f>IF(N148="zákl. přenesená",J148,0)</f>
        <v>0</v>
      </c>
      <c r="BH148" s="148">
        <f>IF(N148="sníž. přenesená",J148,0)</f>
        <v>0</v>
      </c>
      <c r="BI148" s="148">
        <f>IF(N148="nulová",J148,0)</f>
        <v>0</v>
      </c>
      <c r="BJ148" s="19" t="s">
        <v>83</v>
      </c>
      <c r="BK148" s="148">
        <f>ROUND(I148*H148,2)</f>
        <v>0</v>
      </c>
      <c r="BL148" s="19" t="s">
        <v>218</v>
      </c>
      <c r="BM148" s="147" t="s">
        <v>1497</v>
      </c>
    </row>
    <row r="149" spans="2:51" s="14" customFormat="1" ht="12">
      <c r="B149" s="156"/>
      <c r="D149" s="150" t="s">
        <v>154</v>
      </c>
      <c r="F149" s="158" t="s">
        <v>1793</v>
      </c>
      <c r="H149" s="159">
        <f>H147*1.25</f>
        <v>16.78125</v>
      </c>
      <c r="L149" s="156"/>
      <c r="M149" s="160"/>
      <c r="N149" s="161"/>
      <c r="O149" s="161"/>
      <c r="P149" s="161"/>
      <c r="Q149" s="161"/>
      <c r="R149" s="161"/>
      <c r="S149" s="161"/>
      <c r="T149" s="162"/>
      <c r="AT149" s="157" t="s">
        <v>154</v>
      </c>
      <c r="AU149" s="157" t="s">
        <v>85</v>
      </c>
      <c r="AV149" s="14" t="s">
        <v>85</v>
      </c>
      <c r="AW149" s="14" t="s">
        <v>4</v>
      </c>
      <c r="AX149" s="14" t="s">
        <v>83</v>
      </c>
      <c r="AY149" s="157" t="s">
        <v>144</v>
      </c>
    </row>
    <row r="150" spans="1:65" s="2" customFormat="1" ht="14.45" customHeight="1">
      <c r="A150" s="31"/>
      <c r="B150" s="136"/>
      <c r="C150" s="173" t="s">
        <v>229</v>
      </c>
      <c r="D150" s="173" t="s">
        <v>174</v>
      </c>
      <c r="E150" s="174" t="s">
        <v>1498</v>
      </c>
      <c r="F150" s="175" t="s">
        <v>1499</v>
      </c>
      <c r="G150" s="176" t="s">
        <v>183</v>
      </c>
      <c r="H150" s="177">
        <f>H151</f>
        <v>5.202187499999999</v>
      </c>
      <c r="I150" s="178"/>
      <c r="J150" s="178">
        <f>ROUND(I150*H150,2)</f>
        <v>0</v>
      </c>
      <c r="K150" s="175" t="s">
        <v>151</v>
      </c>
      <c r="L150" s="179"/>
      <c r="M150" s="180" t="s">
        <v>3</v>
      </c>
      <c r="N150" s="181" t="s">
        <v>46</v>
      </c>
      <c r="O150" s="145">
        <v>0</v>
      </c>
      <c r="P150" s="145">
        <f>O150*H150</f>
        <v>0</v>
      </c>
      <c r="Q150" s="145">
        <v>0</v>
      </c>
      <c r="R150" s="145">
        <f>Q150*H150</f>
        <v>0</v>
      </c>
      <c r="S150" s="145">
        <v>0</v>
      </c>
      <c r="T150" s="146">
        <f>S150*H150</f>
        <v>0</v>
      </c>
      <c r="U150" s="31"/>
      <c r="V150" s="31"/>
      <c r="W150" s="31"/>
      <c r="X150" s="31"/>
      <c r="Y150" s="31"/>
      <c r="Z150" s="31"/>
      <c r="AA150" s="31"/>
      <c r="AB150" s="31"/>
      <c r="AC150" s="31"/>
      <c r="AD150" s="31"/>
      <c r="AE150" s="31"/>
      <c r="AR150" s="147" t="s">
        <v>248</v>
      </c>
      <c r="AT150" s="147" t="s">
        <v>174</v>
      </c>
      <c r="AU150" s="147" t="s">
        <v>85</v>
      </c>
      <c r="AY150" s="19" t="s">
        <v>144</v>
      </c>
      <c r="BE150" s="148">
        <f>IF(N150="základní",J150,0)</f>
        <v>0</v>
      </c>
      <c r="BF150" s="148">
        <f>IF(N150="snížená",J150,0)</f>
        <v>0</v>
      </c>
      <c r="BG150" s="148">
        <f>IF(N150="zákl. přenesená",J150,0)</f>
        <v>0</v>
      </c>
      <c r="BH150" s="148">
        <f>IF(N150="sníž. přenesená",J150,0)</f>
        <v>0</v>
      </c>
      <c r="BI150" s="148">
        <f>IF(N150="nulová",J150,0)</f>
        <v>0</v>
      </c>
      <c r="BJ150" s="19" t="s">
        <v>83</v>
      </c>
      <c r="BK150" s="148">
        <f>ROUND(I150*H150,2)</f>
        <v>0</v>
      </c>
      <c r="BL150" s="19" t="s">
        <v>218</v>
      </c>
      <c r="BM150" s="147" t="s">
        <v>1500</v>
      </c>
    </row>
    <row r="151" spans="2:51" s="14" customFormat="1" ht="12">
      <c r="B151" s="156"/>
      <c r="D151" s="150" t="s">
        <v>154</v>
      </c>
      <c r="F151" s="158" t="s">
        <v>1794</v>
      </c>
      <c r="H151" s="159">
        <f>H147*0.31*1.25</f>
        <v>5.202187499999999</v>
      </c>
      <c r="L151" s="156"/>
      <c r="M151" s="160"/>
      <c r="N151" s="161"/>
      <c r="O151" s="161"/>
      <c r="P151" s="161"/>
      <c r="Q151" s="161"/>
      <c r="R151" s="161"/>
      <c r="S151" s="161"/>
      <c r="T151" s="162"/>
      <c r="AT151" s="157" t="s">
        <v>154</v>
      </c>
      <c r="AU151" s="157" t="s">
        <v>85</v>
      </c>
      <c r="AV151" s="14" t="s">
        <v>85</v>
      </c>
      <c r="AW151" s="14" t="s">
        <v>4</v>
      </c>
      <c r="AX151" s="14" t="s">
        <v>83</v>
      </c>
      <c r="AY151" s="157" t="s">
        <v>144</v>
      </c>
    </row>
    <row r="152" spans="1:65" s="2" customFormat="1" ht="24.2" customHeight="1">
      <c r="A152" s="31"/>
      <c r="B152" s="136"/>
      <c r="C152" s="137" t="s">
        <v>230</v>
      </c>
      <c r="D152" s="137" t="s">
        <v>147</v>
      </c>
      <c r="E152" s="138" t="s">
        <v>1501</v>
      </c>
      <c r="F152" s="139" t="s">
        <v>1502</v>
      </c>
      <c r="G152" s="140" t="s">
        <v>201</v>
      </c>
      <c r="H152" s="141">
        <f>H145</f>
        <v>13.424999999999999</v>
      </c>
      <c r="I152" s="142"/>
      <c r="J152" s="142">
        <f>ROUND(I152*H152,2)</f>
        <v>0</v>
      </c>
      <c r="K152" s="139" t="s">
        <v>157</v>
      </c>
      <c r="L152" s="32"/>
      <c r="M152" s="143" t="s">
        <v>3</v>
      </c>
      <c r="N152" s="144" t="s">
        <v>46</v>
      </c>
      <c r="O152" s="145">
        <v>0.24</v>
      </c>
      <c r="P152" s="145">
        <f>O152*H152</f>
        <v>3.2219999999999995</v>
      </c>
      <c r="Q152" s="145">
        <v>0.00017</v>
      </c>
      <c r="R152" s="145">
        <f>Q152*H152</f>
        <v>0.00228225</v>
      </c>
      <c r="S152" s="145">
        <v>0</v>
      </c>
      <c r="T152" s="146">
        <f>S152*H152</f>
        <v>0</v>
      </c>
      <c r="U152" s="31"/>
      <c r="V152" s="31"/>
      <c r="W152" s="31"/>
      <c r="X152" s="31"/>
      <c r="Y152" s="31"/>
      <c r="Z152" s="31"/>
      <c r="AA152" s="31"/>
      <c r="AB152" s="31"/>
      <c r="AC152" s="31"/>
      <c r="AD152" s="31"/>
      <c r="AE152" s="31"/>
      <c r="AR152" s="147" t="s">
        <v>218</v>
      </c>
      <c r="AT152" s="147" t="s">
        <v>147</v>
      </c>
      <c r="AU152" s="147" t="s">
        <v>85</v>
      </c>
      <c r="AY152" s="19" t="s">
        <v>144</v>
      </c>
      <c r="BE152" s="148">
        <f>IF(N152="základní",J152,0)</f>
        <v>0</v>
      </c>
      <c r="BF152" s="148">
        <f>IF(N152="snížená",J152,0)</f>
        <v>0</v>
      </c>
      <c r="BG152" s="148">
        <f>IF(N152="zákl. přenesená",J152,0)</f>
        <v>0</v>
      </c>
      <c r="BH152" s="148">
        <f>IF(N152="sníž. přenesená",J152,0)</f>
        <v>0</v>
      </c>
      <c r="BI152" s="148">
        <f>IF(N152="nulová",J152,0)</f>
        <v>0</v>
      </c>
      <c r="BJ152" s="19" t="s">
        <v>83</v>
      </c>
      <c r="BK152" s="148">
        <f>ROUND(I152*H152,2)</f>
        <v>0</v>
      </c>
      <c r="BL152" s="19" t="s">
        <v>218</v>
      </c>
      <c r="BM152" s="147" t="s">
        <v>1503</v>
      </c>
    </row>
    <row r="153" spans="1:65" s="2" customFormat="1" ht="37.9" customHeight="1">
      <c r="A153" s="31"/>
      <c r="B153" s="136"/>
      <c r="C153" s="137" t="s">
        <v>231</v>
      </c>
      <c r="D153" s="137" t="s">
        <v>147</v>
      </c>
      <c r="E153" s="138" t="s">
        <v>1504</v>
      </c>
      <c r="F153" s="139" t="s">
        <v>1505</v>
      </c>
      <c r="G153" s="140" t="s">
        <v>156</v>
      </c>
      <c r="H153" s="141">
        <v>3</v>
      </c>
      <c r="I153" s="142"/>
      <c r="J153" s="142">
        <f>ROUND(I153*H153,2)</f>
        <v>0</v>
      </c>
      <c r="K153" s="139" t="s">
        <v>157</v>
      </c>
      <c r="L153" s="32"/>
      <c r="M153" s="143" t="s">
        <v>3</v>
      </c>
      <c r="N153" s="144" t="s">
        <v>46</v>
      </c>
      <c r="O153" s="145">
        <v>0.33</v>
      </c>
      <c r="P153" s="145">
        <f>O153*H153</f>
        <v>0.99</v>
      </c>
      <c r="Q153" s="145">
        <v>0.00047</v>
      </c>
      <c r="R153" s="145">
        <f>Q153*H153</f>
        <v>0.00141</v>
      </c>
      <c r="S153" s="145">
        <v>0</v>
      </c>
      <c r="T153" s="146">
        <f>S153*H153</f>
        <v>0</v>
      </c>
      <c r="U153" s="31"/>
      <c r="V153" s="31"/>
      <c r="W153" s="31"/>
      <c r="X153" s="31"/>
      <c r="Y153" s="31"/>
      <c r="Z153" s="31"/>
      <c r="AA153" s="31"/>
      <c r="AB153" s="31"/>
      <c r="AC153" s="31"/>
      <c r="AD153" s="31"/>
      <c r="AE153" s="31"/>
      <c r="AR153" s="147" t="s">
        <v>218</v>
      </c>
      <c r="AT153" s="147" t="s">
        <v>147</v>
      </c>
      <c r="AU153" s="147" t="s">
        <v>85</v>
      </c>
      <c r="AY153" s="19" t="s">
        <v>144</v>
      </c>
      <c r="BE153" s="148">
        <f>IF(N153="základní",J153,0)</f>
        <v>0</v>
      </c>
      <c r="BF153" s="148">
        <f>IF(N153="snížená",J153,0)</f>
        <v>0</v>
      </c>
      <c r="BG153" s="148">
        <f>IF(N153="zákl. přenesená",J153,0)</f>
        <v>0</v>
      </c>
      <c r="BH153" s="148">
        <f>IF(N153="sníž. přenesená",J153,0)</f>
        <v>0</v>
      </c>
      <c r="BI153" s="148">
        <f>IF(N153="nulová",J153,0)</f>
        <v>0</v>
      </c>
      <c r="BJ153" s="19" t="s">
        <v>83</v>
      </c>
      <c r="BK153" s="148">
        <f>ROUND(I153*H153,2)</f>
        <v>0</v>
      </c>
      <c r="BL153" s="19" t="s">
        <v>218</v>
      </c>
      <c r="BM153" s="147" t="s">
        <v>1506</v>
      </c>
    </row>
    <row r="154" spans="1:47" s="2" customFormat="1" ht="68.25">
      <c r="A154" s="31"/>
      <c r="B154" s="32"/>
      <c r="C154" s="31"/>
      <c r="D154" s="150" t="s">
        <v>158</v>
      </c>
      <c r="E154" s="31"/>
      <c r="F154" s="163" t="s">
        <v>1507</v>
      </c>
      <c r="G154" s="31"/>
      <c r="H154" s="31"/>
      <c r="I154" s="31"/>
      <c r="J154" s="31"/>
      <c r="K154" s="31"/>
      <c r="L154" s="32"/>
      <c r="M154" s="164"/>
      <c r="N154" s="165"/>
      <c r="O154" s="52"/>
      <c r="P154" s="52"/>
      <c r="Q154" s="52"/>
      <c r="R154" s="52"/>
      <c r="S154" s="52"/>
      <c r="T154" s="53"/>
      <c r="U154" s="31"/>
      <c r="V154" s="31"/>
      <c r="W154" s="31"/>
      <c r="X154" s="31"/>
      <c r="Y154" s="31"/>
      <c r="Z154" s="31"/>
      <c r="AA154" s="31"/>
      <c r="AB154" s="31"/>
      <c r="AC154" s="31"/>
      <c r="AD154" s="31"/>
      <c r="AE154" s="31"/>
      <c r="AT154" s="19" t="s">
        <v>158</v>
      </c>
      <c r="AU154" s="19" t="s">
        <v>85</v>
      </c>
    </row>
    <row r="155" spans="1:65" s="2" customFormat="1" ht="37.9" customHeight="1">
      <c r="A155" s="31"/>
      <c r="B155" s="136"/>
      <c r="C155" s="137" t="s">
        <v>233</v>
      </c>
      <c r="D155" s="137" t="s">
        <v>147</v>
      </c>
      <c r="E155" s="138" t="s">
        <v>1508</v>
      </c>
      <c r="F155" s="139" t="s">
        <v>1509</v>
      </c>
      <c r="G155" s="140" t="s">
        <v>387</v>
      </c>
      <c r="H155" s="141">
        <f>SUM(J132:J153)/100</f>
        <v>0</v>
      </c>
      <c r="I155" s="142"/>
      <c r="J155" s="142">
        <f>ROUND(I155*H155,2)</f>
        <v>0</v>
      </c>
      <c r="K155" s="139" t="s">
        <v>157</v>
      </c>
      <c r="L155" s="32"/>
      <c r="M155" s="143" t="s">
        <v>3</v>
      </c>
      <c r="N155" s="144" t="s">
        <v>46</v>
      </c>
      <c r="O155" s="145">
        <v>0</v>
      </c>
      <c r="P155" s="145">
        <f>O155*H155</f>
        <v>0</v>
      </c>
      <c r="Q155" s="145">
        <v>0</v>
      </c>
      <c r="R155" s="145">
        <f>Q155*H155</f>
        <v>0</v>
      </c>
      <c r="S155" s="145">
        <v>0</v>
      </c>
      <c r="T155" s="146">
        <f>S155*H155</f>
        <v>0</v>
      </c>
      <c r="U155" s="31"/>
      <c r="V155" s="31"/>
      <c r="W155" s="31"/>
      <c r="X155" s="31"/>
      <c r="Y155" s="31"/>
      <c r="Z155" s="31"/>
      <c r="AA155" s="31"/>
      <c r="AB155" s="31"/>
      <c r="AC155" s="31"/>
      <c r="AD155" s="31"/>
      <c r="AE155" s="31"/>
      <c r="AR155" s="147" t="s">
        <v>218</v>
      </c>
      <c r="AT155" s="147" t="s">
        <v>147</v>
      </c>
      <c r="AU155" s="147" t="s">
        <v>85</v>
      </c>
      <c r="AY155" s="19" t="s">
        <v>144</v>
      </c>
      <c r="BE155" s="148">
        <f>IF(N155="základní",J155,0)</f>
        <v>0</v>
      </c>
      <c r="BF155" s="148">
        <f>IF(N155="snížená",J155,0)</f>
        <v>0</v>
      </c>
      <c r="BG155" s="148">
        <f>IF(N155="zákl. přenesená",J155,0)</f>
        <v>0</v>
      </c>
      <c r="BH155" s="148">
        <f>IF(N155="sníž. přenesená",J155,0)</f>
        <v>0</v>
      </c>
      <c r="BI155" s="148">
        <f>IF(N155="nulová",J155,0)</f>
        <v>0</v>
      </c>
      <c r="BJ155" s="19" t="s">
        <v>83</v>
      </c>
      <c r="BK155" s="148">
        <f>ROUND(I155*H155,2)</f>
        <v>0</v>
      </c>
      <c r="BL155" s="19" t="s">
        <v>218</v>
      </c>
      <c r="BM155" s="147" t="s">
        <v>1510</v>
      </c>
    </row>
    <row r="156" spans="1:47" s="2" customFormat="1" ht="126.75">
      <c r="A156" s="31"/>
      <c r="B156" s="32"/>
      <c r="C156" s="31"/>
      <c r="D156" s="150" t="s">
        <v>158</v>
      </c>
      <c r="E156" s="31"/>
      <c r="F156" s="163" t="s">
        <v>627</v>
      </c>
      <c r="G156" s="31"/>
      <c r="H156" s="31"/>
      <c r="I156" s="31"/>
      <c r="J156" s="31"/>
      <c r="K156" s="31"/>
      <c r="L156" s="32"/>
      <c r="M156" s="164"/>
      <c r="N156" s="165"/>
      <c r="O156" s="52"/>
      <c r="P156" s="52"/>
      <c r="Q156" s="52"/>
      <c r="R156" s="52"/>
      <c r="S156" s="52"/>
      <c r="T156" s="53"/>
      <c r="U156" s="31"/>
      <c r="V156" s="31"/>
      <c r="W156" s="31"/>
      <c r="X156" s="31"/>
      <c r="Y156" s="31"/>
      <c r="Z156" s="31"/>
      <c r="AA156" s="31"/>
      <c r="AB156" s="31"/>
      <c r="AC156" s="31"/>
      <c r="AD156" s="31"/>
      <c r="AE156" s="31"/>
      <c r="AT156" s="19" t="s">
        <v>158</v>
      </c>
      <c r="AU156" s="19" t="s">
        <v>85</v>
      </c>
    </row>
    <row r="157" spans="1:65" s="2" customFormat="1" ht="49.15" customHeight="1">
      <c r="A157" s="31"/>
      <c r="B157" s="136"/>
      <c r="C157" s="137" t="s">
        <v>234</v>
      </c>
      <c r="D157" s="137" t="s">
        <v>147</v>
      </c>
      <c r="E157" s="138" t="s">
        <v>1511</v>
      </c>
      <c r="F157" s="139" t="s">
        <v>1512</v>
      </c>
      <c r="G157" s="140" t="s">
        <v>387</v>
      </c>
      <c r="H157" s="141">
        <f>H155</f>
        <v>0</v>
      </c>
      <c r="I157" s="142"/>
      <c r="J157" s="142">
        <f>ROUND(I157*H157,2)</f>
        <v>0</v>
      </c>
      <c r="K157" s="139" t="s">
        <v>157</v>
      </c>
      <c r="L157" s="32"/>
      <c r="M157" s="143" t="s">
        <v>3</v>
      </c>
      <c r="N157" s="144" t="s">
        <v>46</v>
      </c>
      <c r="O157" s="145">
        <v>0</v>
      </c>
      <c r="P157" s="145">
        <f>O157*H157</f>
        <v>0</v>
      </c>
      <c r="Q157" s="145">
        <v>0</v>
      </c>
      <c r="R157" s="145">
        <f>Q157*H157</f>
        <v>0</v>
      </c>
      <c r="S157" s="145">
        <v>0</v>
      </c>
      <c r="T157" s="146">
        <f>S157*H157</f>
        <v>0</v>
      </c>
      <c r="U157" s="31"/>
      <c r="V157" s="31"/>
      <c r="W157" s="31"/>
      <c r="X157" s="31"/>
      <c r="Y157" s="31"/>
      <c r="Z157" s="31"/>
      <c r="AA157" s="31"/>
      <c r="AB157" s="31"/>
      <c r="AC157" s="31"/>
      <c r="AD157" s="31"/>
      <c r="AE157" s="31"/>
      <c r="AR157" s="147" t="s">
        <v>218</v>
      </c>
      <c r="AT157" s="147" t="s">
        <v>147</v>
      </c>
      <c r="AU157" s="147" t="s">
        <v>85</v>
      </c>
      <c r="AY157" s="19" t="s">
        <v>144</v>
      </c>
      <c r="BE157" s="148">
        <f>IF(N157="základní",J157,0)</f>
        <v>0</v>
      </c>
      <c r="BF157" s="148">
        <f>IF(N157="snížená",J157,0)</f>
        <v>0</v>
      </c>
      <c r="BG157" s="148">
        <f>IF(N157="zákl. přenesená",J157,0)</f>
        <v>0</v>
      </c>
      <c r="BH157" s="148">
        <f>IF(N157="sníž. přenesená",J157,0)</f>
        <v>0</v>
      </c>
      <c r="BI157" s="148">
        <f>IF(N157="nulová",J157,0)</f>
        <v>0</v>
      </c>
      <c r="BJ157" s="19" t="s">
        <v>83</v>
      </c>
      <c r="BK157" s="148">
        <f>ROUND(I157*H157,2)</f>
        <v>0</v>
      </c>
      <c r="BL157" s="19" t="s">
        <v>218</v>
      </c>
      <c r="BM157" s="147" t="s">
        <v>1513</v>
      </c>
    </row>
    <row r="158" spans="1:47" s="2" customFormat="1" ht="126.75">
      <c r="A158" s="31"/>
      <c r="B158" s="32"/>
      <c r="C158" s="31"/>
      <c r="D158" s="150" t="s">
        <v>158</v>
      </c>
      <c r="E158" s="31"/>
      <c r="F158" s="163" t="s">
        <v>627</v>
      </c>
      <c r="G158" s="31"/>
      <c r="H158" s="31"/>
      <c r="I158" s="31"/>
      <c r="J158" s="31"/>
      <c r="K158" s="31"/>
      <c r="L158" s="32"/>
      <c r="M158" s="164"/>
      <c r="N158" s="165"/>
      <c r="O158" s="52"/>
      <c r="P158" s="52"/>
      <c r="Q158" s="52"/>
      <c r="R158" s="52"/>
      <c r="S158" s="52"/>
      <c r="T158" s="53"/>
      <c r="U158" s="31"/>
      <c r="V158" s="31"/>
      <c r="W158" s="31"/>
      <c r="X158" s="31"/>
      <c r="Y158" s="31"/>
      <c r="Z158" s="31"/>
      <c r="AA158" s="31"/>
      <c r="AB158" s="31"/>
      <c r="AC158" s="31"/>
      <c r="AD158" s="31"/>
      <c r="AE158" s="31"/>
      <c r="AT158" s="19" t="s">
        <v>158</v>
      </c>
      <c r="AU158" s="19" t="s">
        <v>85</v>
      </c>
    </row>
    <row r="159" spans="2:63" s="12" customFormat="1" ht="25.9" customHeight="1">
      <c r="B159" s="124"/>
      <c r="D159" s="125" t="s">
        <v>74</v>
      </c>
      <c r="E159" s="126" t="s">
        <v>1149</v>
      </c>
      <c r="F159" s="126" t="s">
        <v>1150</v>
      </c>
      <c r="J159" s="127">
        <f>BK159</f>
        <v>0</v>
      </c>
      <c r="L159" s="124"/>
      <c r="M159" s="128"/>
      <c r="N159" s="129"/>
      <c r="O159" s="129"/>
      <c r="P159" s="130">
        <f>SUM(P160:P163)</f>
        <v>16</v>
      </c>
      <c r="Q159" s="129"/>
      <c r="R159" s="130">
        <f>SUM(R160:R163)</f>
        <v>0</v>
      </c>
      <c r="S159" s="129"/>
      <c r="T159" s="131">
        <f>SUM(T160:T163)</f>
        <v>0</v>
      </c>
      <c r="AR159" s="125" t="s">
        <v>152</v>
      </c>
      <c r="AT159" s="132" t="s">
        <v>74</v>
      </c>
      <c r="AU159" s="132" t="s">
        <v>75</v>
      </c>
      <c r="AY159" s="125" t="s">
        <v>144</v>
      </c>
      <c r="BK159" s="133">
        <f>SUM(BK160:BK163)</f>
        <v>0</v>
      </c>
    </row>
    <row r="160" spans="1:65" s="2" customFormat="1" ht="24.2" customHeight="1">
      <c r="A160" s="31"/>
      <c r="B160" s="136"/>
      <c r="C160" s="137" t="s">
        <v>235</v>
      </c>
      <c r="D160" s="137" t="s">
        <v>147</v>
      </c>
      <c r="E160" s="138" t="s">
        <v>1151</v>
      </c>
      <c r="F160" s="139" t="s">
        <v>1152</v>
      </c>
      <c r="G160" s="140" t="s">
        <v>1153</v>
      </c>
      <c r="H160" s="141">
        <v>8</v>
      </c>
      <c r="I160" s="142"/>
      <c r="J160" s="142">
        <f>ROUND(I160*H160,2)</f>
        <v>0</v>
      </c>
      <c r="K160" s="139" t="s">
        <v>157</v>
      </c>
      <c r="L160" s="32"/>
      <c r="M160" s="143" t="s">
        <v>3</v>
      </c>
      <c r="N160" s="144" t="s">
        <v>46</v>
      </c>
      <c r="O160" s="145">
        <v>1</v>
      </c>
      <c r="P160" s="145">
        <f>O160*H160</f>
        <v>8</v>
      </c>
      <c r="Q160" s="145">
        <v>0</v>
      </c>
      <c r="R160" s="145">
        <f>Q160*H160</f>
        <v>0</v>
      </c>
      <c r="S160" s="145">
        <v>0</v>
      </c>
      <c r="T160" s="146">
        <f>S160*H160</f>
        <v>0</v>
      </c>
      <c r="U160" s="31"/>
      <c r="V160" s="31"/>
      <c r="W160" s="31"/>
      <c r="X160" s="31"/>
      <c r="Y160" s="31"/>
      <c r="Z160" s="31"/>
      <c r="AA160" s="31"/>
      <c r="AB160" s="31"/>
      <c r="AC160" s="31"/>
      <c r="AD160" s="31"/>
      <c r="AE160" s="31"/>
      <c r="AR160" s="147" t="s">
        <v>1154</v>
      </c>
      <c r="AT160" s="147" t="s">
        <v>147</v>
      </c>
      <c r="AU160" s="147" t="s">
        <v>83</v>
      </c>
      <c r="AY160" s="19" t="s">
        <v>144</v>
      </c>
      <c r="BE160" s="148">
        <f>IF(N160="základní",J160,0)</f>
        <v>0</v>
      </c>
      <c r="BF160" s="148">
        <f>IF(N160="snížená",J160,0)</f>
        <v>0</v>
      </c>
      <c r="BG160" s="148">
        <f>IF(N160="zákl. přenesená",J160,0)</f>
        <v>0</v>
      </c>
      <c r="BH160" s="148">
        <f>IF(N160="sníž. přenesená",J160,0)</f>
        <v>0</v>
      </c>
      <c r="BI160" s="148">
        <f>IF(N160="nulová",J160,0)</f>
        <v>0</v>
      </c>
      <c r="BJ160" s="19" t="s">
        <v>83</v>
      </c>
      <c r="BK160" s="148">
        <f>ROUND(I160*H160,2)</f>
        <v>0</v>
      </c>
      <c r="BL160" s="19" t="s">
        <v>1154</v>
      </c>
      <c r="BM160" s="147" t="s">
        <v>1514</v>
      </c>
    </row>
    <row r="161" spans="1:47" s="2" customFormat="1" ht="19.5">
      <c r="A161" s="31"/>
      <c r="B161" s="32"/>
      <c r="C161" s="31"/>
      <c r="D161" s="150" t="s">
        <v>270</v>
      </c>
      <c r="E161" s="31"/>
      <c r="F161" s="163" t="s">
        <v>1156</v>
      </c>
      <c r="G161" s="31"/>
      <c r="H161" s="31"/>
      <c r="I161" s="31"/>
      <c r="J161" s="31"/>
      <c r="K161" s="31"/>
      <c r="L161" s="32"/>
      <c r="M161" s="164"/>
      <c r="N161" s="165"/>
      <c r="O161" s="52"/>
      <c r="P161" s="52"/>
      <c r="Q161" s="52"/>
      <c r="R161" s="52"/>
      <c r="S161" s="52"/>
      <c r="T161" s="53"/>
      <c r="U161" s="31"/>
      <c r="V161" s="31"/>
      <c r="W161" s="31"/>
      <c r="X161" s="31"/>
      <c r="Y161" s="31"/>
      <c r="Z161" s="31"/>
      <c r="AA161" s="31"/>
      <c r="AB161" s="31"/>
      <c r="AC161" s="31"/>
      <c r="AD161" s="31"/>
      <c r="AE161" s="31"/>
      <c r="AT161" s="19" t="s">
        <v>270</v>
      </c>
      <c r="AU161" s="19" t="s">
        <v>83</v>
      </c>
    </row>
    <row r="162" spans="1:65" s="2" customFormat="1" ht="37.9" customHeight="1">
      <c r="A162" s="31"/>
      <c r="B162" s="136"/>
      <c r="C162" s="137" t="s">
        <v>241</v>
      </c>
      <c r="D162" s="137" t="s">
        <v>147</v>
      </c>
      <c r="E162" s="138" t="s">
        <v>1515</v>
      </c>
      <c r="F162" s="139" t="s">
        <v>1516</v>
      </c>
      <c r="G162" s="140" t="s">
        <v>1153</v>
      </c>
      <c r="H162" s="141">
        <v>8</v>
      </c>
      <c r="I162" s="142"/>
      <c r="J162" s="142">
        <f>ROUND(I162*H162,2)</f>
        <v>0</v>
      </c>
      <c r="K162" s="139" t="s">
        <v>157</v>
      </c>
      <c r="L162" s="32"/>
      <c r="M162" s="143" t="s">
        <v>3</v>
      </c>
      <c r="N162" s="144" t="s">
        <v>46</v>
      </c>
      <c r="O162" s="145">
        <v>1</v>
      </c>
      <c r="P162" s="145">
        <f>O162*H162</f>
        <v>8</v>
      </c>
      <c r="Q162" s="145">
        <v>0</v>
      </c>
      <c r="R162" s="145">
        <f>Q162*H162</f>
        <v>0</v>
      </c>
      <c r="S162" s="145">
        <v>0</v>
      </c>
      <c r="T162" s="146">
        <f>S162*H162</f>
        <v>0</v>
      </c>
      <c r="U162" s="31"/>
      <c r="V162" s="31"/>
      <c r="W162" s="31"/>
      <c r="X162" s="31"/>
      <c r="Y162" s="31"/>
      <c r="Z162" s="31"/>
      <c r="AA162" s="31"/>
      <c r="AB162" s="31"/>
      <c r="AC162" s="31"/>
      <c r="AD162" s="31"/>
      <c r="AE162" s="31"/>
      <c r="AR162" s="147" t="s">
        <v>1154</v>
      </c>
      <c r="AT162" s="147" t="s">
        <v>147</v>
      </c>
      <c r="AU162" s="147" t="s">
        <v>83</v>
      </c>
      <c r="AY162" s="19" t="s">
        <v>144</v>
      </c>
      <c r="BE162" s="148">
        <f>IF(N162="základní",J162,0)</f>
        <v>0</v>
      </c>
      <c r="BF162" s="148">
        <f>IF(N162="snížená",J162,0)</f>
        <v>0</v>
      </c>
      <c r="BG162" s="148">
        <f>IF(N162="zákl. přenesená",J162,0)</f>
        <v>0</v>
      </c>
      <c r="BH162" s="148">
        <f>IF(N162="sníž. přenesená",J162,0)</f>
        <v>0</v>
      </c>
      <c r="BI162" s="148">
        <f>IF(N162="nulová",J162,0)</f>
        <v>0</v>
      </c>
      <c r="BJ162" s="19" t="s">
        <v>83</v>
      </c>
      <c r="BK162" s="148">
        <f>ROUND(I162*H162,2)</f>
        <v>0</v>
      </c>
      <c r="BL162" s="19" t="s">
        <v>1154</v>
      </c>
      <c r="BM162" s="147" t="s">
        <v>1517</v>
      </c>
    </row>
    <row r="163" spans="1:47" s="2" customFormat="1" ht="19.5">
      <c r="A163" s="31"/>
      <c r="B163" s="32"/>
      <c r="C163" s="31"/>
      <c r="D163" s="150" t="s">
        <v>270</v>
      </c>
      <c r="E163" s="31"/>
      <c r="F163" s="163" t="s">
        <v>1518</v>
      </c>
      <c r="G163" s="31"/>
      <c r="H163" s="31"/>
      <c r="I163" s="31"/>
      <c r="J163" s="31"/>
      <c r="K163" s="31"/>
      <c r="L163" s="32"/>
      <c r="M163" s="189"/>
      <c r="N163" s="190"/>
      <c r="O163" s="191"/>
      <c r="P163" s="191"/>
      <c r="Q163" s="191"/>
      <c r="R163" s="191"/>
      <c r="S163" s="191"/>
      <c r="T163" s="192"/>
      <c r="U163" s="31"/>
      <c r="V163" s="31"/>
      <c r="W163" s="31"/>
      <c r="X163" s="31"/>
      <c r="Y163" s="31"/>
      <c r="Z163" s="31"/>
      <c r="AA163" s="31"/>
      <c r="AB163" s="31"/>
      <c r="AC163" s="31"/>
      <c r="AD163" s="31"/>
      <c r="AE163" s="31"/>
      <c r="AT163" s="19" t="s">
        <v>270</v>
      </c>
      <c r="AU163" s="19" t="s">
        <v>83</v>
      </c>
    </row>
    <row r="164" spans="1:31" s="2" customFormat="1" ht="6.95" customHeight="1">
      <c r="A164" s="31"/>
      <c r="B164" s="41"/>
      <c r="C164" s="42"/>
      <c r="D164" s="42"/>
      <c r="E164" s="42"/>
      <c r="F164" s="42"/>
      <c r="G164" s="42"/>
      <c r="H164" s="42"/>
      <c r="I164" s="42"/>
      <c r="J164" s="42"/>
      <c r="K164" s="42"/>
      <c r="L164" s="32"/>
      <c r="M164" s="31"/>
      <c r="O164" s="31"/>
      <c r="P164" s="31"/>
      <c r="Q164" s="31"/>
      <c r="R164" s="31"/>
      <c r="S164" s="31"/>
      <c r="T164" s="31"/>
      <c r="U164" s="31"/>
      <c r="V164" s="31"/>
      <c r="W164" s="31"/>
      <c r="X164" s="31"/>
      <c r="Y164" s="31"/>
      <c r="Z164" s="31"/>
      <c r="AA164" s="31"/>
      <c r="AB164" s="31"/>
      <c r="AC164" s="31"/>
      <c r="AD164" s="31"/>
      <c r="AE164" s="31"/>
    </row>
  </sheetData>
  <autoFilter ref="C87:K163"/>
  <mergeCells count="9">
    <mergeCell ref="E50:H50"/>
    <mergeCell ref="E78:H78"/>
    <mergeCell ref="E80:H80"/>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 manualBreakCount="1">
    <brk id="111" min="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138"/>
  <sheetViews>
    <sheetView showGridLines="0" view="pageBreakPreview" zoomScale="80" zoomScaleSheetLayoutView="80" workbookViewId="0" topLeftCell="A108">
      <selection activeCell="I85" sqref="I85:I13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01" t="s">
        <v>6</v>
      </c>
      <c r="M2" s="302"/>
      <c r="N2" s="302"/>
      <c r="O2" s="302"/>
      <c r="P2" s="302"/>
      <c r="Q2" s="302"/>
      <c r="R2" s="302"/>
      <c r="S2" s="302"/>
      <c r="T2" s="302"/>
      <c r="U2" s="302"/>
      <c r="V2" s="302"/>
      <c r="AT2" s="19" t="s">
        <v>100</v>
      </c>
    </row>
    <row r="3" spans="2:46" s="1" customFormat="1" ht="6.95" customHeight="1">
      <c r="B3" s="20"/>
      <c r="C3" s="21"/>
      <c r="D3" s="21"/>
      <c r="E3" s="21"/>
      <c r="F3" s="21"/>
      <c r="G3" s="21"/>
      <c r="H3" s="21"/>
      <c r="I3" s="21"/>
      <c r="J3" s="21"/>
      <c r="K3" s="21"/>
      <c r="L3" s="22"/>
      <c r="AT3" s="19" t="s">
        <v>85</v>
      </c>
    </row>
    <row r="4" spans="2:46" s="1" customFormat="1" ht="24.95" customHeight="1">
      <c r="B4" s="22"/>
      <c r="D4" s="23" t="s">
        <v>104</v>
      </c>
      <c r="L4" s="22"/>
      <c r="M4" s="88" t="s">
        <v>11</v>
      </c>
      <c r="AT4" s="19" t="s">
        <v>4</v>
      </c>
    </row>
    <row r="5" spans="2:12" s="1" customFormat="1" ht="6.95" customHeight="1">
      <c r="B5" s="22"/>
      <c r="L5" s="22"/>
    </row>
    <row r="6" spans="2:12" s="1" customFormat="1" ht="12" customHeight="1">
      <c r="B6" s="22"/>
      <c r="D6" s="28" t="s">
        <v>15</v>
      </c>
      <c r="L6" s="22"/>
    </row>
    <row r="7" spans="2:12" s="1" customFormat="1" ht="23.25" customHeight="1">
      <c r="B7" s="22"/>
      <c r="E7" s="335" t="str">
        <f>'Rekapitulace stavby'!K6</f>
        <v>Rekonstrukce lékařských pokojů, skladových a technických prostor Nemocnice Nymburk s.r.o.</v>
      </c>
      <c r="F7" s="336"/>
      <c r="G7" s="336"/>
      <c r="H7" s="336"/>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5" t="s">
        <v>1519</v>
      </c>
      <c r="F9" s="334"/>
      <c r="G9" s="334"/>
      <c r="H9" s="334"/>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10" t="str">
        <f>'Rekapitulace stavby'!E14</f>
        <v xml:space="preserve"> </v>
      </c>
      <c r="F18" s="310"/>
      <c r="G18" s="310"/>
      <c r="H18" s="310"/>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12" t="s">
        <v>40</v>
      </c>
      <c r="F27" s="312"/>
      <c r="G27" s="312"/>
      <c r="H27" s="312"/>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45</v>
      </c>
      <c r="E33" s="28" t="s">
        <v>46</v>
      </c>
      <c r="F33" s="95">
        <f>ROUND((SUM(BE82:BE137)),2)</f>
        <v>0</v>
      </c>
      <c r="G33" s="31"/>
      <c r="H33" s="31"/>
      <c r="I33" s="96">
        <v>0.21</v>
      </c>
      <c r="J33" s="95">
        <f>ROUND(((SUM(BE82:BE137))*I33),2)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47</v>
      </c>
      <c r="F34" s="95">
        <f>ROUND((SUM(BF82:BF137)),2)</f>
        <v>0</v>
      </c>
      <c r="G34" s="31"/>
      <c r="H34" s="31"/>
      <c r="I34" s="96">
        <v>0.15</v>
      </c>
      <c r="J34" s="95">
        <f>ROUND(((SUM(BF82:BF137))*I34),2)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48</v>
      </c>
      <c r="F35" s="95">
        <f>ROUND((SUM(BG82:BG137)),2)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49</v>
      </c>
      <c r="F36" s="95">
        <f>ROUND((SUM(BH82:BH137)),2)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50</v>
      </c>
      <c r="F37" s="95">
        <f>ROUND((SUM(BI82:BI137)),2)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35" t="str">
        <f>E7</f>
        <v>Rekonstrukce lékařských pokojů, skladových a technických prostor Nemocnice Nymburk s.r.o.</v>
      </c>
      <c r="F48" s="336"/>
      <c r="G48" s="336"/>
      <c r="H48" s="336"/>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5" t="str">
        <f>E9</f>
        <v>06 - Interiérové vybavení</v>
      </c>
      <c r="F50" s="334"/>
      <c r="G50" s="334"/>
      <c r="H50" s="334"/>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73</v>
      </c>
      <c r="D59" s="31"/>
      <c r="E59" s="31"/>
      <c r="F59" s="31"/>
      <c r="G59" s="31"/>
      <c r="H59" s="31"/>
      <c r="I59" s="31"/>
      <c r="J59" s="65">
        <f>J82</f>
        <v>0</v>
      </c>
      <c r="K59" s="31"/>
      <c r="L59" s="89"/>
      <c r="S59" s="31"/>
      <c r="T59" s="31"/>
      <c r="U59" s="31"/>
      <c r="V59" s="31"/>
      <c r="W59" s="31"/>
      <c r="X59" s="31"/>
      <c r="Y59" s="31"/>
      <c r="Z59" s="31"/>
      <c r="AA59" s="31"/>
      <c r="AB59" s="31"/>
      <c r="AC59" s="31"/>
      <c r="AD59" s="31"/>
      <c r="AE59" s="31"/>
      <c r="AU59" s="19" t="s">
        <v>110</v>
      </c>
    </row>
    <row r="60" spans="2:12" s="9" customFormat="1" ht="24.95" customHeight="1">
      <c r="B60" s="106"/>
      <c r="D60" s="107" t="s">
        <v>117</v>
      </c>
      <c r="E60" s="108"/>
      <c r="F60" s="108"/>
      <c r="G60" s="108"/>
      <c r="H60" s="108"/>
      <c r="I60" s="108"/>
      <c r="J60" s="109">
        <f>J83</f>
        <v>0</v>
      </c>
      <c r="L60" s="106"/>
    </row>
    <row r="61" spans="2:12" s="10" customFormat="1" ht="19.9" customHeight="1">
      <c r="B61" s="110"/>
      <c r="D61" s="111" t="s">
        <v>120</v>
      </c>
      <c r="E61" s="112"/>
      <c r="F61" s="112"/>
      <c r="G61" s="112"/>
      <c r="H61" s="112"/>
      <c r="I61" s="112"/>
      <c r="J61" s="113">
        <f>J84</f>
        <v>0</v>
      </c>
      <c r="L61" s="110"/>
    </row>
    <row r="62" spans="2:12" s="10" customFormat="1" ht="19.9" customHeight="1">
      <c r="B62" s="110"/>
      <c r="D62" s="111" t="s">
        <v>121</v>
      </c>
      <c r="E62" s="112"/>
      <c r="F62" s="112"/>
      <c r="G62" s="112"/>
      <c r="H62" s="112"/>
      <c r="I62" s="112"/>
      <c r="J62" s="113">
        <f>J99</f>
        <v>0</v>
      </c>
      <c r="L62" s="110"/>
    </row>
    <row r="63" spans="1:31" s="2" customFormat="1" ht="21.75" customHeight="1">
      <c r="A63" s="31"/>
      <c r="B63" s="32"/>
      <c r="C63" s="31"/>
      <c r="D63" s="31"/>
      <c r="E63" s="31"/>
      <c r="F63" s="31"/>
      <c r="G63" s="31"/>
      <c r="H63" s="31"/>
      <c r="I63" s="31"/>
      <c r="J63" s="31"/>
      <c r="K63" s="31"/>
      <c r="L63" s="89"/>
      <c r="S63" s="31"/>
      <c r="T63" s="31"/>
      <c r="U63" s="31"/>
      <c r="V63" s="31"/>
      <c r="W63" s="31"/>
      <c r="X63" s="31"/>
      <c r="Y63" s="31"/>
      <c r="Z63" s="31"/>
      <c r="AA63" s="31"/>
      <c r="AB63" s="31"/>
      <c r="AC63" s="31"/>
      <c r="AD63" s="31"/>
      <c r="AE63" s="31"/>
    </row>
    <row r="64" spans="1:31" s="2" customFormat="1" ht="6.95" customHeight="1">
      <c r="A64" s="31"/>
      <c r="B64" s="41"/>
      <c r="C64" s="42"/>
      <c r="D64" s="42"/>
      <c r="E64" s="42"/>
      <c r="F64" s="42"/>
      <c r="G64" s="42"/>
      <c r="H64" s="42"/>
      <c r="I64" s="42"/>
      <c r="J64" s="42"/>
      <c r="K64" s="42"/>
      <c r="L64" s="89"/>
      <c r="S64" s="31"/>
      <c r="T64" s="31"/>
      <c r="U64" s="31"/>
      <c r="V64" s="31"/>
      <c r="W64" s="31"/>
      <c r="X64" s="31"/>
      <c r="Y64" s="31"/>
      <c r="Z64" s="31"/>
      <c r="AA64" s="31"/>
      <c r="AB64" s="31"/>
      <c r="AC64" s="31"/>
      <c r="AD64" s="31"/>
      <c r="AE64" s="31"/>
    </row>
    <row r="68" spans="1:31" s="2" customFormat="1" ht="6.95" customHeight="1">
      <c r="A68" s="31"/>
      <c r="B68" s="43"/>
      <c r="C68" s="44"/>
      <c r="D68" s="44"/>
      <c r="E68" s="44"/>
      <c r="F68" s="44"/>
      <c r="G68" s="44"/>
      <c r="H68" s="44"/>
      <c r="I68" s="44"/>
      <c r="J68" s="44"/>
      <c r="K68" s="44"/>
      <c r="L68" s="89"/>
      <c r="S68" s="31"/>
      <c r="T68" s="31"/>
      <c r="U68" s="31"/>
      <c r="V68" s="31"/>
      <c r="W68" s="31"/>
      <c r="X68" s="31"/>
      <c r="Y68" s="31"/>
      <c r="Z68" s="31"/>
      <c r="AA68" s="31"/>
      <c r="AB68" s="31"/>
      <c r="AC68" s="31"/>
      <c r="AD68" s="31"/>
      <c r="AE68" s="31"/>
    </row>
    <row r="69" spans="1:31" s="2" customFormat="1" ht="24.95" customHeight="1">
      <c r="A69" s="31"/>
      <c r="B69" s="32"/>
      <c r="C69" s="23" t="s">
        <v>129</v>
      </c>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12" customHeight="1">
      <c r="A71" s="31"/>
      <c r="B71" s="32"/>
      <c r="C71" s="28" t="s">
        <v>15</v>
      </c>
      <c r="D71" s="31"/>
      <c r="E71" s="31"/>
      <c r="F71" s="31"/>
      <c r="G71" s="31"/>
      <c r="H71" s="31"/>
      <c r="I71" s="31"/>
      <c r="J71" s="31"/>
      <c r="K71" s="31"/>
      <c r="L71" s="89"/>
      <c r="S71" s="31"/>
      <c r="T71" s="31"/>
      <c r="U71" s="31"/>
      <c r="V71" s="31"/>
      <c r="W71" s="31"/>
      <c r="X71" s="31"/>
      <c r="Y71" s="31"/>
      <c r="Z71" s="31"/>
      <c r="AA71" s="31"/>
      <c r="AB71" s="31"/>
      <c r="AC71" s="31"/>
      <c r="AD71" s="31"/>
      <c r="AE71" s="31"/>
    </row>
    <row r="72" spans="1:31" s="2" customFormat="1" ht="23.25" customHeight="1">
      <c r="A72" s="31"/>
      <c r="B72" s="32"/>
      <c r="C72" s="31"/>
      <c r="D72" s="31"/>
      <c r="E72" s="335" t="str">
        <f>E7</f>
        <v>Rekonstrukce lékařských pokojů, skladových a technických prostor Nemocnice Nymburk s.r.o.</v>
      </c>
      <c r="F72" s="336"/>
      <c r="G72" s="336"/>
      <c r="H72" s="336"/>
      <c r="I72" s="31"/>
      <c r="J72" s="31"/>
      <c r="K72" s="31"/>
      <c r="L72" s="89"/>
      <c r="S72" s="31"/>
      <c r="T72" s="31"/>
      <c r="U72" s="31"/>
      <c r="V72" s="31"/>
      <c r="W72" s="31"/>
      <c r="X72" s="31"/>
      <c r="Y72" s="31"/>
      <c r="Z72" s="31"/>
      <c r="AA72" s="31"/>
      <c r="AB72" s="31"/>
      <c r="AC72" s="31"/>
      <c r="AD72" s="31"/>
      <c r="AE72" s="31"/>
    </row>
    <row r="73" spans="1:31" s="2" customFormat="1" ht="12" customHeight="1">
      <c r="A73" s="31"/>
      <c r="B73" s="32"/>
      <c r="C73" s="28" t="s">
        <v>105</v>
      </c>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6.5" customHeight="1">
      <c r="A74" s="31"/>
      <c r="B74" s="32"/>
      <c r="C74" s="31"/>
      <c r="D74" s="31"/>
      <c r="E74" s="325" t="str">
        <f>E9</f>
        <v>06 - Interiérové vybavení</v>
      </c>
      <c r="F74" s="334"/>
      <c r="G74" s="334"/>
      <c r="H74" s="334"/>
      <c r="I74" s="31"/>
      <c r="J74" s="31"/>
      <c r="K74" s="31"/>
      <c r="L74" s="89"/>
      <c r="S74" s="31"/>
      <c r="T74" s="31"/>
      <c r="U74" s="31"/>
      <c r="V74" s="31"/>
      <c r="W74" s="31"/>
      <c r="X74" s="31"/>
      <c r="Y74" s="31"/>
      <c r="Z74" s="31"/>
      <c r="AA74" s="31"/>
      <c r="AB74" s="31"/>
      <c r="AC74" s="31"/>
      <c r="AD74" s="31"/>
      <c r="AE74" s="31"/>
    </row>
    <row r="75" spans="1:31" s="2" customFormat="1" ht="6.9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21</v>
      </c>
      <c r="D76" s="31"/>
      <c r="E76" s="31"/>
      <c r="F76" s="26" t="str">
        <f>F12</f>
        <v>Nymburk</v>
      </c>
      <c r="G76" s="31"/>
      <c r="H76" s="31"/>
      <c r="I76" s="28" t="s">
        <v>23</v>
      </c>
      <c r="J76" s="49" t="str">
        <f>IF(J12="","",J12)</f>
        <v>1. 9. 2020</v>
      </c>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5.7" customHeight="1">
      <c r="A78" s="31"/>
      <c r="B78" s="32"/>
      <c r="C78" s="28" t="s">
        <v>25</v>
      </c>
      <c r="D78" s="31"/>
      <c r="E78" s="31"/>
      <c r="F78" s="26" t="str">
        <f>E15</f>
        <v>Nemocnice Nymburk s.r.o.</v>
      </c>
      <c r="G78" s="31"/>
      <c r="H78" s="31"/>
      <c r="I78" s="28" t="s">
        <v>33</v>
      </c>
      <c r="J78" s="29" t="str">
        <f>E21</f>
        <v>Ing. arch. Pavel Petrák</v>
      </c>
      <c r="K78" s="31"/>
      <c r="L78" s="89"/>
      <c r="S78" s="31"/>
      <c r="T78" s="31"/>
      <c r="U78" s="31"/>
      <c r="V78" s="31"/>
      <c r="W78" s="31"/>
      <c r="X78" s="31"/>
      <c r="Y78" s="31"/>
      <c r="Z78" s="31"/>
      <c r="AA78" s="31"/>
      <c r="AB78" s="31"/>
      <c r="AC78" s="31"/>
      <c r="AD78" s="31"/>
      <c r="AE78" s="31"/>
    </row>
    <row r="79" spans="1:31" s="2" customFormat="1" ht="15.2" customHeight="1">
      <c r="A79" s="31"/>
      <c r="B79" s="32"/>
      <c r="C79" s="28" t="s">
        <v>31</v>
      </c>
      <c r="D79" s="31"/>
      <c r="E79" s="31"/>
      <c r="F79" s="26" t="str">
        <f>IF(E18="","",E18)</f>
        <v xml:space="preserve"> </v>
      </c>
      <c r="G79" s="31"/>
      <c r="H79" s="31"/>
      <c r="I79" s="28" t="s">
        <v>38</v>
      </c>
      <c r="J79" s="29" t="str">
        <f>E24</f>
        <v xml:space="preserve"> </v>
      </c>
      <c r="K79" s="31"/>
      <c r="L79" s="89"/>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11" customFormat="1" ht="29.25" customHeight="1">
      <c r="A81" s="114"/>
      <c r="B81" s="115"/>
      <c r="C81" s="116" t="s">
        <v>130</v>
      </c>
      <c r="D81" s="117" t="s">
        <v>60</v>
      </c>
      <c r="E81" s="117" t="s">
        <v>56</v>
      </c>
      <c r="F81" s="117" t="s">
        <v>57</v>
      </c>
      <c r="G81" s="117" t="s">
        <v>131</v>
      </c>
      <c r="H81" s="117" t="s">
        <v>132</v>
      </c>
      <c r="I81" s="117" t="s">
        <v>133</v>
      </c>
      <c r="J81" s="117" t="s">
        <v>109</v>
      </c>
      <c r="K81" s="118" t="s">
        <v>134</v>
      </c>
      <c r="L81" s="119"/>
      <c r="M81" s="56" t="s">
        <v>3</v>
      </c>
      <c r="N81" s="57" t="s">
        <v>45</v>
      </c>
      <c r="O81" s="57" t="s">
        <v>135</v>
      </c>
      <c r="P81" s="57" t="s">
        <v>136</v>
      </c>
      <c r="Q81" s="57" t="s">
        <v>137</v>
      </c>
      <c r="R81" s="57" t="s">
        <v>138</v>
      </c>
      <c r="S81" s="57" t="s">
        <v>139</v>
      </c>
      <c r="T81" s="58" t="s">
        <v>140</v>
      </c>
      <c r="U81" s="114"/>
      <c r="V81" s="114"/>
      <c r="W81" s="114"/>
      <c r="X81" s="114"/>
      <c r="Y81" s="114"/>
      <c r="Z81" s="114"/>
      <c r="AA81" s="114"/>
      <c r="AB81" s="114"/>
      <c r="AC81" s="114"/>
      <c r="AD81" s="114"/>
      <c r="AE81" s="114"/>
    </row>
    <row r="82" spans="1:63" s="2" customFormat="1" ht="22.9" customHeight="1">
      <c r="A82" s="31"/>
      <c r="B82" s="32"/>
      <c r="C82" s="63" t="s">
        <v>141</v>
      </c>
      <c r="D82" s="31"/>
      <c r="E82" s="31"/>
      <c r="F82" s="31"/>
      <c r="G82" s="31"/>
      <c r="H82" s="31"/>
      <c r="I82" s="31"/>
      <c r="J82" s="120">
        <f>J83</f>
        <v>0</v>
      </c>
      <c r="K82" s="31"/>
      <c r="L82" s="32"/>
      <c r="M82" s="59"/>
      <c r="N82" s="50"/>
      <c r="O82" s="60"/>
      <c r="P82" s="121">
        <f>P83</f>
        <v>0</v>
      </c>
      <c r="Q82" s="60"/>
      <c r="R82" s="121">
        <f>R83</f>
        <v>0</v>
      </c>
      <c r="S82" s="60"/>
      <c r="T82" s="122">
        <f>T83</f>
        <v>0</v>
      </c>
      <c r="U82" s="31"/>
      <c r="V82" s="31"/>
      <c r="W82" s="31"/>
      <c r="X82" s="31"/>
      <c r="Y82" s="31"/>
      <c r="Z82" s="31"/>
      <c r="AA82" s="31"/>
      <c r="AB82" s="31"/>
      <c r="AC82" s="31"/>
      <c r="AD82" s="31"/>
      <c r="AE82" s="31"/>
      <c r="AT82" s="19" t="s">
        <v>74</v>
      </c>
      <c r="AU82" s="19" t="s">
        <v>110</v>
      </c>
      <c r="BK82" s="123">
        <f>BK83</f>
        <v>0</v>
      </c>
    </row>
    <row r="83" spans="2:63" s="12" customFormat="1" ht="25.9" customHeight="1">
      <c r="B83" s="124"/>
      <c r="D83" s="125" t="s">
        <v>74</v>
      </c>
      <c r="E83" s="126" t="s">
        <v>366</v>
      </c>
      <c r="F83" s="126" t="s">
        <v>367</v>
      </c>
      <c r="J83" s="127">
        <f>J84+J99</f>
        <v>0</v>
      </c>
      <c r="L83" s="124"/>
      <c r="M83" s="128"/>
      <c r="N83" s="129"/>
      <c r="O83" s="129"/>
      <c r="P83" s="130">
        <f>P84+P99</f>
        <v>0</v>
      </c>
      <c r="Q83" s="129"/>
      <c r="R83" s="130">
        <f>R84+R99</f>
        <v>0</v>
      </c>
      <c r="S83" s="129"/>
      <c r="T83" s="131">
        <f>T84+T99</f>
        <v>0</v>
      </c>
      <c r="AR83" s="125" t="s">
        <v>85</v>
      </c>
      <c r="AT83" s="132" t="s">
        <v>74</v>
      </c>
      <c r="AU83" s="132" t="s">
        <v>75</v>
      </c>
      <c r="AY83" s="125" t="s">
        <v>144</v>
      </c>
      <c r="BK83" s="133">
        <f>BK84+BK99</f>
        <v>0</v>
      </c>
    </row>
    <row r="84" spans="2:63" s="12" customFormat="1" ht="22.9" customHeight="1">
      <c r="B84" s="124"/>
      <c r="D84" s="125" t="s">
        <v>74</v>
      </c>
      <c r="E84" s="134" t="s">
        <v>404</v>
      </c>
      <c r="F84" s="134" t="s">
        <v>405</v>
      </c>
      <c r="J84" s="135">
        <f>SUM(J85:J98)</f>
        <v>0</v>
      </c>
      <c r="L84" s="124"/>
      <c r="M84" s="128"/>
      <c r="N84" s="129"/>
      <c r="O84" s="129"/>
      <c r="P84" s="130">
        <f>SUM(P85:P98)</f>
        <v>0</v>
      </c>
      <c r="Q84" s="129"/>
      <c r="R84" s="130">
        <f>SUM(R85:R98)</f>
        <v>0</v>
      </c>
      <c r="S84" s="129"/>
      <c r="T84" s="131">
        <f>SUM(T85:T98)</f>
        <v>0</v>
      </c>
      <c r="AR84" s="125" t="s">
        <v>85</v>
      </c>
      <c r="AT84" s="132" t="s">
        <v>74</v>
      </c>
      <c r="AU84" s="132" t="s">
        <v>83</v>
      </c>
      <c r="AY84" s="125" t="s">
        <v>144</v>
      </c>
      <c r="BK84" s="133">
        <f>SUM(BK85:BK98)</f>
        <v>0</v>
      </c>
    </row>
    <row r="85" spans="1:65" s="2" customFormat="1" ht="76.35" customHeight="1">
      <c r="A85" s="31"/>
      <c r="B85" s="136"/>
      <c r="C85" s="137">
        <v>1</v>
      </c>
      <c r="D85" s="137" t="s">
        <v>147</v>
      </c>
      <c r="E85" s="138" t="s">
        <v>1520</v>
      </c>
      <c r="F85" s="139" t="s">
        <v>1795</v>
      </c>
      <c r="G85" s="140" t="s">
        <v>960</v>
      </c>
      <c r="H85" s="141">
        <v>1</v>
      </c>
      <c r="I85" s="142"/>
      <c r="J85" s="142">
        <f>ROUND(I85*H85,2)</f>
        <v>0</v>
      </c>
      <c r="K85" s="139" t="s">
        <v>151</v>
      </c>
      <c r="L85" s="32"/>
      <c r="M85" s="143" t="s">
        <v>3</v>
      </c>
      <c r="N85" s="144" t="s">
        <v>46</v>
      </c>
      <c r="O85" s="145">
        <v>0</v>
      </c>
      <c r="P85" s="145">
        <f>O85*H85</f>
        <v>0</v>
      </c>
      <c r="Q85" s="145">
        <v>0</v>
      </c>
      <c r="R85" s="145">
        <f>Q85*H85</f>
        <v>0</v>
      </c>
      <c r="S85" s="145">
        <v>0</v>
      </c>
      <c r="T85" s="146">
        <f>S85*H85</f>
        <v>0</v>
      </c>
      <c r="U85" s="31"/>
      <c r="V85" s="31"/>
      <c r="W85" s="31"/>
      <c r="X85" s="31"/>
      <c r="Y85" s="31"/>
      <c r="Z85" s="31"/>
      <c r="AA85" s="31"/>
      <c r="AB85" s="31"/>
      <c r="AC85" s="31"/>
      <c r="AD85" s="31"/>
      <c r="AE85" s="31"/>
      <c r="AR85" s="147" t="s">
        <v>218</v>
      </c>
      <c r="AT85" s="147" t="s">
        <v>147</v>
      </c>
      <c r="AU85" s="147" t="s">
        <v>85</v>
      </c>
      <c r="AY85" s="19" t="s">
        <v>144</v>
      </c>
      <c r="BE85" s="148">
        <f>IF(N85="základní",J85,0)</f>
        <v>0</v>
      </c>
      <c r="BF85" s="148">
        <f>IF(N85="snížená",J85,0)</f>
        <v>0</v>
      </c>
      <c r="BG85" s="148">
        <f>IF(N85="zákl. přenesená",J85,0)</f>
        <v>0</v>
      </c>
      <c r="BH85" s="148">
        <f>IF(N85="sníž. přenesená",J85,0)</f>
        <v>0</v>
      </c>
      <c r="BI85" s="148">
        <f>IF(N85="nulová",J85,0)</f>
        <v>0</v>
      </c>
      <c r="BJ85" s="19" t="s">
        <v>83</v>
      </c>
      <c r="BK85" s="148">
        <f>ROUND(I85*H85,2)</f>
        <v>0</v>
      </c>
      <c r="BL85" s="19" t="s">
        <v>218</v>
      </c>
      <c r="BM85" s="147" t="s">
        <v>1521</v>
      </c>
    </row>
    <row r="86" spans="1:47" s="2" customFormat="1" ht="29.25">
      <c r="A86" s="31"/>
      <c r="B86" s="32"/>
      <c r="C86" s="31"/>
      <c r="D86" s="150" t="s">
        <v>270</v>
      </c>
      <c r="E86" s="31"/>
      <c r="F86" s="163" t="s">
        <v>1522</v>
      </c>
      <c r="G86" s="31"/>
      <c r="H86" s="31"/>
      <c r="I86" s="31"/>
      <c r="J86" s="31"/>
      <c r="K86" s="31"/>
      <c r="L86" s="32"/>
      <c r="M86" s="164"/>
      <c r="N86" s="165"/>
      <c r="O86" s="52"/>
      <c r="P86" s="52"/>
      <c r="Q86" s="52"/>
      <c r="R86" s="52"/>
      <c r="S86" s="52"/>
      <c r="T86" s="53"/>
      <c r="U86" s="31"/>
      <c r="V86" s="31"/>
      <c r="W86" s="31"/>
      <c r="X86" s="31"/>
      <c r="Y86" s="31"/>
      <c r="Z86" s="31"/>
      <c r="AA86" s="31"/>
      <c r="AB86" s="31"/>
      <c r="AC86" s="31"/>
      <c r="AD86" s="31"/>
      <c r="AE86" s="31"/>
      <c r="AT86" s="19" t="s">
        <v>270</v>
      </c>
      <c r="AU86" s="19" t="s">
        <v>85</v>
      </c>
    </row>
    <row r="87" spans="1:65" s="2" customFormat="1" ht="114.95" customHeight="1">
      <c r="A87" s="31"/>
      <c r="B87" s="136"/>
      <c r="C87" s="137">
        <v>2</v>
      </c>
      <c r="D87" s="137" t="s">
        <v>147</v>
      </c>
      <c r="E87" s="138" t="s">
        <v>1523</v>
      </c>
      <c r="F87" s="139" t="s">
        <v>1796</v>
      </c>
      <c r="G87" s="140" t="s">
        <v>960</v>
      </c>
      <c r="H87" s="141">
        <v>1</v>
      </c>
      <c r="I87" s="142"/>
      <c r="J87" s="142">
        <f>ROUND(I87*H87,2)</f>
        <v>0</v>
      </c>
      <c r="K87" s="139" t="s">
        <v>151</v>
      </c>
      <c r="L87" s="32"/>
      <c r="M87" s="143" t="s">
        <v>3</v>
      </c>
      <c r="N87" s="144" t="s">
        <v>46</v>
      </c>
      <c r="O87" s="145">
        <v>0</v>
      </c>
      <c r="P87" s="145">
        <f>O87*H87</f>
        <v>0</v>
      </c>
      <c r="Q87" s="145">
        <v>0</v>
      </c>
      <c r="R87" s="145">
        <f>Q87*H87</f>
        <v>0</v>
      </c>
      <c r="S87" s="145">
        <v>0</v>
      </c>
      <c r="T87" s="146">
        <f>S87*H87</f>
        <v>0</v>
      </c>
      <c r="U87" s="31"/>
      <c r="V87" s="31"/>
      <c r="W87" s="31"/>
      <c r="X87" s="31"/>
      <c r="Y87" s="31"/>
      <c r="Z87" s="31"/>
      <c r="AA87" s="31"/>
      <c r="AB87" s="31"/>
      <c r="AC87" s="31"/>
      <c r="AD87" s="31"/>
      <c r="AE87" s="31"/>
      <c r="AR87" s="147" t="s">
        <v>218</v>
      </c>
      <c r="AT87" s="147" t="s">
        <v>147</v>
      </c>
      <c r="AU87" s="147" t="s">
        <v>85</v>
      </c>
      <c r="AY87" s="19" t="s">
        <v>144</v>
      </c>
      <c r="BE87" s="148">
        <f>IF(N87="základní",J87,0)</f>
        <v>0</v>
      </c>
      <c r="BF87" s="148">
        <f>IF(N87="snížená",J87,0)</f>
        <v>0</v>
      </c>
      <c r="BG87" s="148">
        <f>IF(N87="zákl. přenesená",J87,0)</f>
        <v>0</v>
      </c>
      <c r="BH87" s="148">
        <f>IF(N87="sníž. přenesená",J87,0)</f>
        <v>0</v>
      </c>
      <c r="BI87" s="148">
        <f>IF(N87="nulová",J87,0)</f>
        <v>0</v>
      </c>
      <c r="BJ87" s="19" t="s">
        <v>83</v>
      </c>
      <c r="BK87" s="148">
        <f>ROUND(I87*H87,2)</f>
        <v>0</v>
      </c>
      <c r="BL87" s="19" t="s">
        <v>218</v>
      </c>
      <c r="BM87" s="147" t="s">
        <v>1524</v>
      </c>
    </row>
    <row r="88" spans="1:47" s="2" customFormat="1" ht="29.25">
      <c r="A88" s="31"/>
      <c r="B88" s="32"/>
      <c r="C88" s="31"/>
      <c r="D88" s="150" t="s">
        <v>270</v>
      </c>
      <c r="E88" s="31"/>
      <c r="F88" s="163" t="s">
        <v>1525</v>
      </c>
      <c r="G88" s="31"/>
      <c r="H88" s="31"/>
      <c r="I88" s="31"/>
      <c r="J88" s="31"/>
      <c r="K88" s="31"/>
      <c r="L88" s="32"/>
      <c r="M88" s="164"/>
      <c r="N88" s="165"/>
      <c r="O88" s="52"/>
      <c r="P88" s="52"/>
      <c r="Q88" s="52"/>
      <c r="R88" s="52"/>
      <c r="S88" s="52"/>
      <c r="T88" s="53"/>
      <c r="U88" s="31"/>
      <c r="V88" s="31"/>
      <c r="W88" s="31"/>
      <c r="X88" s="31"/>
      <c r="Y88" s="31"/>
      <c r="Z88" s="31"/>
      <c r="AA88" s="31"/>
      <c r="AB88" s="31"/>
      <c r="AC88" s="31"/>
      <c r="AD88" s="31"/>
      <c r="AE88" s="31"/>
      <c r="AT88" s="19" t="s">
        <v>270</v>
      </c>
      <c r="AU88" s="19" t="s">
        <v>85</v>
      </c>
    </row>
    <row r="89" spans="1:65" s="2" customFormat="1" ht="114.95" customHeight="1">
      <c r="A89" s="31"/>
      <c r="B89" s="136"/>
      <c r="C89" s="137">
        <v>3</v>
      </c>
      <c r="D89" s="137" t="s">
        <v>147</v>
      </c>
      <c r="E89" s="138" t="s">
        <v>1526</v>
      </c>
      <c r="F89" s="139" t="s">
        <v>1527</v>
      </c>
      <c r="G89" s="140" t="s">
        <v>960</v>
      </c>
      <c r="H89" s="141">
        <v>1</v>
      </c>
      <c r="I89" s="142"/>
      <c r="J89" s="142">
        <f>ROUND(I89*H89,2)</f>
        <v>0</v>
      </c>
      <c r="K89" s="139" t="s">
        <v>151</v>
      </c>
      <c r="L89" s="32"/>
      <c r="M89" s="143" t="s">
        <v>3</v>
      </c>
      <c r="N89" s="144" t="s">
        <v>46</v>
      </c>
      <c r="O89" s="145">
        <v>0</v>
      </c>
      <c r="P89" s="145">
        <f>O89*H89</f>
        <v>0</v>
      </c>
      <c r="Q89" s="145">
        <v>0</v>
      </c>
      <c r="R89" s="145">
        <f>Q89*H89</f>
        <v>0</v>
      </c>
      <c r="S89" s="145">
        <v>0</v>
      </c>
      <c r="T89" s="146">
        <f>S89*H89</f>
        <v>0</v>
      </c>
      <c r="U89" s="31"/>
      <c r="V89" s="31"/>
      <c r="W89" s="31"/>
      <c r="X89" s="31"/>
      <c r="Y89" s="31"/>
      <c r="Z89" s="31"/>
      <c r="AA89" s="31"/>
      <c r="AB89" s="31"/>
      <c r="AC89" s="31"/>
      <c r="AD89" s="31"/>
      <c r="AE89" s="31"/>
      <c r="AR89" s="147" t="s">
        <v>218</v>
      </c>
      <c r="AT89" s="147" t="s">
        <v>147</v>
      </c>
      <c r="AU89" s="147" t="s">
        <v>85</v>
      </c>
      <c r="AY89" s="19" t="s">
        <v>144</v>
      </c>
      <c r="BE89" s="148">
        <f>IF(N89="základní",J89,0)</f>
        <v>0</v>
      </c>
      <c r="BF89" s="148">
        <f>IF(N89="snížená",J89,0)</f>
        <v>0</v>
      </c>
      <c r="BG89" s="148">
        <f>IF(N89="zákl. přenesená",J89,0)</f>
        <v>0</v>
      </c>
      <c r="BH89" s="148">
        <f>IF(N89="sníž. přenesená",J89,0)</f>
        <v>0</v>
      </c>
      <c r="BI89" s="148">
        <f>IF(N89="nulová",J89,0)</f>
        <v>0</v>
      </c>
      <c r="BJ89" s="19" t="s">
        <v>83</v>
      </c>
      <c r="BK89" s="148">
        <f>ROUND(I89*H89,2)</f>
        <v>0</v>
      </c>
      <c r="BL89" s="19" t="s">
        <v>218</v>
      </c>
      <c r="BM89" s="147" t="s">
        <v>1528</v>
      </c>
    </row>
    <row r="90" spans="1:47" s="2" customFormat="1" ht="29.25">
      <c r="A90" s="31"/>
      <c r="B90" s="32"/>
      <c r="C90" s="31"/>
      <c r="D90" s="150" t="s">
        <v>270</v>
      </c>
      <c r="E90" s="31"/>
      <c r="F90" s="163" t="s">
        <v>1529</v>
      </c>
      <c r="G90" s="31"/>
      <c r="H90" s="31"/>
      <c r="I90" s="31"/>
      <c r="J90" s="31"/>
      <c r="K90" s="31"/>
      <c r="L90" s="32"/>
      <c r="M90" s="164"/>
      <c r="N90" s="165"/>
      <c r="O90" s="52"/>
      <c r="P90" s="52"/>
      <c r="Q90" s="52"/>
      <c r="R90" s="52"/>
      <c r="S90" s="52"/>
      <c r="T90" s="53"/>
      <c r="U90" s="31"/>
      <c r="V90" s="31"/>
      <c r="W90" s="31"/>
      <c r="X90" s="31"/>
      <c r="Y90" s="31"/>
      <c r="Z90" s="31"/>
      <c r="AA90" s="31"/>
      <c r="AB90" s="31"/>
      <c r="AC90" s="31"/>
      <c r="AD90" s="31"/>
      <c r="AE90" s="31"/>
      <c r="AT90" s="19" t="s">
        <v>270</v>
      </c>
      <c r="AU90" s="19" t="s">
        <v>85</v>
      </c>
    </row>
    <row r="91" spans="1:65" s="2" customFormat="1" ht="90" customHeight="1">
      <c r="A91" s="31"/>
      <c r="B91" s="136"/>
      <c r="C91" s="137">
        <v>4</v>
      </c>
      <c r="D91" s="137" t="s">
        <v>147</v>
      </c>
      <c r="E91" s="138" t="s">
        <v>1530</v>
      </c>
      <c r="F91" s="139" t="s">
        <v>1531</v>
      </c>
      <c r="G91" s="140" t="s">
        <v>960</v>
      </c>
      <c r="H91" s="141">
        <v>1</v>
      </c>
      <c r="I91" s="142"/>
      <c r="J91" s="142">
        <f>ROUND(I91*H91,2)</f>
        <v>0</v>
      </c>
      <c r="K91" s="139" t="s">
        <v>151</v>
      </c>
      <c r="L91" s="32"/>
      <c r="M91" s="143" t="s">
        <v>3</v>
      </c>
      <c r="N91" s="144" t="s">
        <v>46</v>
      </c>
      <c r="O91" s="145">
        <v>0</v>
      </c>
      <c r="P91" s="145">
        <f>O91*H91</f>
        <v>0</v>
      </c>
      <c r="Q91" s="145">
        <v>0</v>
      </c>
      <c r="R91" s="145">
        <f>Q91*H91</f>
        <v>0</v>
      </c>
      <c r="S91" s="145">
        <v>0</v>
      </c>
      <c r="T91" s="146">
        <f>S91*H91</f>
        <v>0</v>
      </c>
      <c r="U91" s="31"/>
      <c r="V91" s="31"/>
      <c r="W91" s="31"/>
      <c r="X91" s="31"/>
      <c r="Y91" s="31"/>
      <c r="Z91" s="31"/>
      <c r="AA91" s="31"/>
      <c r="AB91" s="31"/>
      <c r="AC91" s="31"/>
      <c r="AD91" s="31"/>
      <c r="AE91" s="31"/>
      <c r="AR91" s="147" t="s">
        <v>218</v>
      </c>
      <c r="AT91" s="147" t="s">
        <v>147</v>
      </c>
      <c r="AU91" s="147" t="s">
        <v>85</v>
      </c>
      <c r="AY91" s="19" t="s">
        <v>144</v>
      </c>
      <c r="BE91" s="148">
        <f>IF(N91="základní",J91,0)</f>
        <v>0</v>
      </c>
      <c r="BF91" s="148">
        <f>IF(N91="snížená",J91,0)</f>
        <v>0</v>
      </c>
      <c r="BG91" s="148">
        <f>IF(N91="zákl. přenesená",J91,0)</f>
        <v>0</v>
      </c>
      <c r="BH91" s="148">
        <f>IF(N91="sníž. přenesená",J91,0)</f>
        <v>0</v>
      </c>
      <c r="BI91" s="148">
        <f>IF(N91="nulová",J91,0)</f>
        <v>0</v>
      </c>
      <c r="BJ91" s="19" t="s">
        <v>83</v>
      </c>
      <c r="BK91" s="148">
        <f>ROUND(I91*H91,2)</f>
        <v>0</v>
      </c>
      <c r="BL91" s="19" t="s">
        <v>218</v>
      </c>
      <c r="BM91" s="147" t="s">
        <v>1532</v>
      </c>
    </row>
    <row r="92" spans="1:47" s="2" customFormat="1" ht="29.25">
      <c r="A92" s="31"/>
      <c r="B92" s="32"/>
      <c r="C92" s="31"/>
      <c r="D92" s="150" t="s">
        <v>270</v>
      </c>
      <c r="E92" s="31"/>
      <c r="F92" s="163" t="s">
        <v>1533</v>
      </c>
      <c r="G92" s="31"/>
      <c r="H92" s="31"/>
      <c r="I92" s="31"/>
      <c r="J92" s="31"/>
      <c r="K92" s="31"/>
      <c r="L92" s="32"/>
      <c r="M92" s="164"/>
      <c r="N92" s="165"/>
      <c r="O92" s="52"/>
      <c r="P92" s="52"/>
      <c r="Q92" s="52"/>
      <c r="R92" s="52"/>
      <c r="S92" s="52"/>
      <c r="T92" s="53"/>
      <c r="U92" s="31"/>
      <c r="V92" s="31"/>
      <c r="W92" s="31"/>
      <c r="X92" s="31"/>
      <c r="Y92" s="31"/>
      <c r="Z92" s="31"/>
      <c r="AA92" s="31"/>
      <c r="AB92" s="31"/>
      <c r="AC92" s="31"/>
      <c r="AD92" s="31"/>
      <c r="AE92" s="31"/>
      <c r="AT92" s="19" t="s">
        <v>270</v>
      </c>
      <c r="AU92" s="19" t="s">
        <v>85</v>
      </c>
    </row>
    <row r="93" spans="1:65" s="2" customFormat="1" ht="90" customHeight="1">
      <c r="A93" s="31"/>
      <c r="B93" s="136"/>
      <c r="C93" s="137">
        <v>5</v>
      </c>
      <c r="D93" s="137" t="s">
        <v>147</v>
      </c>
      <c r="E93" s="138" t="s">
        <v>1534</v>
      </c>
      <c r="F93" s="139" t="s">
        <v>1535</v>
      </c>
      <c r="G93" s="140" t="s">
        <v>960</v>
      </c>
      <c r="H93" s="141">
        <v>1</v>
      </c>
      <c r="I93" s="142"/>
      <c r="J93" s="142">
        <f>ROUND(I93*H93,2)</f>
        <v>0</v>
      </c>
      <c r="K93" s="139" t="s">
        <v>151</v>
      </c>
      <c r="L93" s="32"/>
      <c r="M93" s="143" t="s">
        <v>3</v>
      </c>
      <c r="N93" s="144" t="s">
        <v>46</v>
      </c>
      <c r="O93" s="145">
        <v>0</v>
      </c>
      <c r="P93" s="145">
        <f>O93*H93</f>
        <v>0</v>
      </c>
      <c r="Q93" s="145">
        <v>0</v>
      </c>
      <c r="R93" s="145">
        <f>Q93*H93</f>
        <v>0</v>
      </c>
      <c r="S93" s="145">
        <v>0</v>
      </c>
      <c r="T93" s="146">
        <f>S93*H93</f>
        <v>0</v>
      </c>
      <c r="U93" s="31"/>
      <c r="V93" s="31"/>
      <c r="W93" s="31"/>
      <c r="X93" s="31"/>
      <c r="Y93" s="31"/>
      <c r="Z93" s="31"/>
      <c r="AA93" s="31"/>
      <c r="AB93" s="31"/>
      <c r="AC93" s="31"/>
      <c r="AD93" s="31"/>
      <c r="AE93" s="31"/>
      <c r="AR93" s="147" t="s">
        <v>218</v>
      </c>
      <c r="AT93" s="147" t="s">
        <v>147</v>
      </c>
      <c r="AU93" s="147" t="s">
        <v>85</v>
      </c>
      <c r="AY93" s="19" t="s">
        <v>144</v>
      </c>
      <c r="BE93" s="148">
        <f>IF(N93="základní",J93,0)</f>
        <v>0</v>
      </c>
      <c r="BF93" s="148">
        <f>IF(N93="snížená",J93,0)</f>
        <v>0</v>
      </c>
      <c r="BG93" s="148">
        <f>IF(N93="zákl. přenesená",J93,0)</f>
        <v>0</v>
      </c>
      <c r="BH93" s="148">
        <f>IF(N93="sníž. přenesená",J93,0)</f>
        <v>0</v>
      </c>
      <c r="BI93" s="148">
        <f>IF(N93="nulová",J93,0)</f>
        <v>0</v>
      </c>
      <c r="BJ93" s="19" t="s">
        <v>83</v>
      </c>
      <c r="BK93" s="148">
        <f>ROUND(I93*H93,2)</f>
        <v>0</v>
      </c>
      <c r="BL93" s="19" t="s">
        <v>218</v>
      </c>
      <c r="BM93" s="147" t="s">
        <v>1536</v>
      </c>
    </row>
    <row r="94" spans="1:47" s="2" customFormat="1" ht="29.25">
      <c r="A94" s="31"/>
      <c r="B94" s="32"/>
      <c r="C94" s="31"/>
      <c r="D94" s="150" t="s">
        <v>270</v>
      </c>
      <c r="E94" s="31"/>
      <c r="F94" s="163" t="s">
        <v>1537</v>
      </c>
      <c r="G94" s="31"/>
      <c r="H94" s="31"/>
      <c r="I94" s="31"/>
      <c r="J94" s="31"/>
      <c r="K94" s="31"/>
      <c r="L94" s="32"/>
      <c r="M94" s="164"/>
      <c r="N94" s="165"/>
      <c r="O94" s="52"/>
      <c r="P94" s="52"/>
      <c r="Q94" s="52"/>
      <c r="R94" s="52"/>
      <c r="S94" s="52"/>
      <c r="T94" s="53"/>
      <c r="U94" s="31"/>
      <c r="V94" s="31"/>
      <c r="W94" s="31"/>
      <c r="X94" s="31"/>
      <c r="Y94" s="31"/>
      <c r="Z94" s="31"/>
      <c r="AA94" s="31"/>
      <c r="AB94" s="31"/>
      <c r="AC94" s="31"/>
      <c r="AD94" s="31"/>
      <c r="AE94" s="31"/>
      <c r="AT94" s="19" t="s">
        <v>270</v>
      </c>
      <c r="AU94" s="19" t="s">
        <v>85</v>
      </c>
    </row>
    <row r="95" spans="1:65" s="2" customFormat="1" ht="37.9" customHeight="1">
      <c r="A95" s="31"/>
      <c r="B95" s="136"/>
      <c r="C95" s="137">
        <v>6</v>
      </c>
      <c r="D95" s="137" t="s">
        <v>147</v>
      </c>
      <c r="E95" s="138" t="s">
        <v>549</v>
      </c>
      <c r="F95" s="139" t="s">
        <v>550</v>
      </c>
      <c r="G95" s="140" t="s">
        <v>387</v>
      </c>
      <c r="H95" s="141">
        <v>4946.65</v>
      </c>
      <c r="I95" s="142"/>
      <c r="J95" s="142">
        <f>ROUND(I95*H95,2)</f>
        <v>0</v>
      </c>
      <c r="K95" s="139" t="s">
        <v>157</v>
      </c>
      <c r="L95" s="32"/>
      <c r="M95" s="143" t="s">
        <v>3</v>
      </c>
      <c r="N95" s="144" t="s">
        <v>46</v>
      </c>
      <c r="O95" s="145">
        <v>0</v>
      </c>
      <c r="P95" s="145">
        <f>O95*H95</f>
        <v>0</v>
      </c>
      <c r="Q95" s="145">
        <v>0</v>
      </c>
      <c r="R95" s="145">
        <f>Q95*H95</f>
        <v>0</v>
      </c>
      <c r="S95" s="145">
        <v>0</v>
      </c>
      <c r="T95" s="146">
        <f>S95*H95</f>
        <v>0</v>
      </c>
      <c r="U95" s="31"/>
      <c r="V95" s="148"/>
      <c r="W95" s="31"/>
      <c r="X95" s="31"/>
      <c r="Y95" s="31"/>
      <c r="Z95" s="31"/>
      <c r="AA95" s="31"/>
      <c r="AB95" s="31"/>
      <c r="AC95" s="31"/>
      <c r="AD95" s="31"/>
      <c r="AE95" s="31"/>
      <c r="AR95" s="147" t="s">
        <v>218</v>
      </c>
      <c r="AT95" s="147" t="s">
        <v>147</v>
      </c>
      <c r="AU95" s="147" t="s">
        <v>85</v>
      </c>
      <c r="AY95" s="19" t="s">
        <v>144</v>
      </c>
      <c r="BE95" s="148">
        <f>IF(N95="základní",J95,0)</f>
        <v>0</v>
      </c>
      <c r="BF95" s="148">
        <f>IF(N95="snížená",J95,0)</f>
        <v>0</v>
      </c>
      <c r="BG95" s="148">
        <f>IF(N95="zákl. přenesená",J95,0)</f>
        <v>0</v>
      </c>
      <c r="BH95" s="148">
        <f>IF(N95="sníž. přenesená",J95,0)</f>
        <v>0</v>
      </c>
      <c r="BI95" s="148">
        <f>IF(N95="nulová",J95,0)</f>
        <v>0</v>
      </c>
      <c r="BJ95" s="19" t="s">
        <v>83</v>
      </c>
      <c r="BK95" s="148">
        <f>ROUND(I95*H95,2)</f>
        <v>0</v>
      </c>
      <c r="BL95" s="19" t="s">
        <v>218</v>
      </c>
      <c r="BM95" s="147" t="s">
        <v>1538</v>
      </c>
    </row>
    <row r="96" spans="1:47" s="2" customFormat="1" ht="126.75">
      <c r="A96" s="31"/>
      <c r="B96" s="32"/>
      <c r="C96" s="31"/>
      <c r="D96" s="150" t="s">
        <v>158</v>
      </c>
      <c r="E96" s="31"/>
      <c r="F96" s="163" t="s">
        <v>552</v>
      </c>
      <c r="G96" s="31"/>
      <c r="H96" s="31"/>
      <c r="I96" s="31"/>
      <c r="J96" s="31"/>
      <c r="K96" s="31"/>
      <c r="L96" s="32"/>
      <c r="M96" s="164"/>
      <c r="N96" s="165"/>
      <c r="O96" s="52"/>
      <c r="P96" s="52"/>
      <c r="Q96" s="52"/>
      <c r="R96" s="52"/>
      <c r="S96" s="52"/>
      <c r="T96" s="53"/>
      <c r="U96" s="31"/>
      <c r="V96" s="31"/>
      <c r="W96" s="31"/>
      <c r="X96" s="31"/>
      <c r="Y96" s="31"/>
      <c r="Z96" s="31"/>
      <c r="AA96" s="31"/>
      <c r="AB96" s="31"/>
      <c r="AC96" s="31"/>
      <c r="AD96" s="31"/>
      <c r="AE96" s="31"/>
      <c r="AT96" s="19" t="s">
        <v>158</v>
      </c>
      <c r="AU96" s="19" t="s">
        <v>85</v>
      </c>
    </row>
    <row r="97" spans="1:65" s="2" customFormat="1" ht="49.15" customHeight="1">
      <c r="A97" s="31"/>
      <c r="B97" s="136"/>
      <c r="C97" s="137">
        <v>7</v>
      </c>
      <c r="D97" s="137" t="s">
        <v>147</v>
      </c>
      <c r="E97" s="138" t="s">
        <v>554</v>
      </c>
      <c r="F97" s="139" t="s">
        <v>555</v>
      </c>
      <c r="G97" s="140" t="s">
        <v>387</v>
      </c>
      <c r="H97" s="141">
        <v>4946.65</v>
      </c>
      <c r="I97" s="142"/>
      <c r="J97" s="142">
        <f>ROUND(I97*H97,2)</f>
        <v>0</v>
      </c>
      <c r="K97" s="139" t="s">
        <v>157</v>
      </c>
      <c r="L97" s="32"/>
      <c r="M97" s="143" t="s">
        <v>3</v>
      </c>
      <c r="N97" s="144" t="s">
        <v>46</v>
      </c>
      <c r="O97" s="145">
        <v>0</v>
      </c>
      <c r="P97" s="145">
        <f>O97*H97</f>
        <v>0</v>
      </c>
      <c r="Q97" s="145">
        <v>0</v>
      </c>
      <c r="R97" s="145">
        <f>Q97*H97</f>
        <v>0</v>
      </c>
      <c r="S97" s="145">
        <v>0</v>
      </c>
      <c r="T97" s="146">
        <f>S97*H97</f>
        <v>0</v>
      </c>
      <c r="U97" s="31"/>
      <c r="V97" s="31"/>
      <c r="W97" s="31"/>
      <c r="X97" s="31"/>
      <c r="Y97" s="31"/>
      <c r="Z97" s="31"/>
      <c r="AA97" s="31"/>
      <c r="AB97" s="31"/>
      <c r="AC97" s="31"/>
      <c r="AD97" s="31"/>
      <c r="AE97" s="31"/>
      <c r="AR97" s="147" t="s">
        <v>218</v>
      </c>
      <c r="AT97" s="147" t="s">
        <v>147</v>
      </c>
      <c r="AU97" s="147" t="s">
        <v>85</v>
      </c>
      <c r="AY97" s="19" t="s">
        <v>144</v>
      </c>
      <c r="BE97" s="148">
        <f>IF(N97="základní",J97,0)</f>
        <v>0</v>
      </c>
      <c r="BF97" s="148">
        <f>IF(N97="snížená",J97,0)</f>
        <v>0</v>
      </c>
      <c r="BG97" s="148">
        <f>IF(N97="zákl. přenesená",J97,0)</f>
        <v>0</v>
      </c>
      <c r="BH97" s="148">
        <f>IF(N97="sníž. přenesená",J97,0)</f>
        <v>0</v>
      </c>
      <c r="BI97" s="148">
        <f>IF(N97="nulová",J97,0)</f>
        <v>0</v>
      </c>
      <c r="BJ97" s="19" t="s">
        <v>83</v>
      </c>
      <c r="BK97" s="148">
        <f>ROUND(I97*H97,2)</f>
        <v>0</v>
      </c>
      <c r="BL97" s="19" t="s">
        <v>218</v>
      </c>
      <c r="BM97" s="147" t="s">
        <v>1539</v>
      </c>
    </row>
    <row r="98" spans="1:47" s="2" customFormat="1" ht="126.75">
      <c r="A98" s="31"/>
      <c r="B98" s="32"/>
      <c r="C98" s="31"/>
      <c r="D98" s="150" t="s">
        <v>158</v>
      </c>
      <c r="E98" s="31"/>
      <c r="F98" s="163" t="s">
        <v>552</v>
      </c>
      <c r="G98" s="31"/>
      <c r="H98" s="31"/>
      <c r="I98" s="31"/>
      <c r="J98" s="31"/>
      <c r="K98" s="31"/>
      <c r="L98" s="32"/>
      <c r="M98" s="164"/>
      <c r="N98" s="165"/>
      <c r="O98" s="52"/>
      <c r="P98" s="52"/>
      <c r="Q98" s="52"/>
      <c r="R98" s="52"/>
      <c r="S98" s="52"/>
      <c r="T98" s="53"/>
      <c r="U98" s="31"/>
      <c r="V98" s="31"/>
      <c r="W98" s="31"/>
      <c r="X98" s="31"/>
      <c r="Y98" s="31"/>
      <c r="Z98" s="31"/>
      <c r="AA98" s="31"/>
      <c r="AB98" s="31"/>
      <c r="AC98" s="31"/>
      <c r="AD98" s="31"/>
      <c r="AE98" s="31"/>
      <c r="AT98" s="19" t="s">
        <v>158</v>
      </c>
      <c r="AU98" s="19" t="s">
        <v>85</v>
      </c>
    </row>
    <row r="99" spans="2:63" s="12" customFormat="1" ht="22.9" customHeight="1">
      <c r="B99" s="124"/>
      <c r="D99" s="125" t="s">
        <v>74</v>
      </c>
      <c r="E99" s="134" t="s">
        <v>557</v>
      </c>
      <c r="F99" s="134" t="s">
        <v>558</v>
      </c>
      <c r="J99" s="135">
        <f>BK99</f>
        <v>0</v>
      </c>
      <c r="L99" s="124"/>
      <c r="M99" s="128"/>
      <c r="N99" s="129"/>
      <c r="O99" s="129"/>
      <c r="P99" s="130">
        <f>SUM(P100:P137)</f>
        <v>0</v>
      </c>
      <c r="Q99" s="129"/>
      <c r="R99" s="130">
        <f>SUM(R100:R137)</f>
        <v>0</v>
      </c>
      <c r="S99" s="129"/>
      <c r="T99" s="131">
        <f>SUM(T100:T137)</f>
        <v>0</v>
      </c>
      <c r="AR99" s="125" t="s">
        <v>85</v>
      </c>
      <c r="AT99" s="132" t="s">
        <v>74</v>
      </c>
      <c r="AU99" s="132" t="s">
        <v>83</v>
      </c>
      <c r="AY99" s="125" t="s">
        <v>144</v>
      </c>
      <c r="BK99" s="133">
        <f>SUM(BK100:BK137)</f>
        <v>0</v>
      </c>
    </row>
    <row r="100" spans="1:65" s="2" customFormat="1" ht="49.15" customHeight="1">
      <c r="A100" s="31"/>
      <c r="B100" s="136"/>
      <c r="C100" s="137">
        <v>8</v>
      </c>
      <c r="D100" s="137" t="s">
        <v>147</v>
      </c>
      <c r="E100" s="138" t="s">
        <v>574</v>
      </c>
      <c r="F100" s="139" t="s">
        <v>575</v>
      </c>
      <c r="G100" s="140" t="s">
        <v>387</v>
      </c>
      <c r="H100" s="141">
        <v>1799.97</v>
      </c>
      <c r="I100" s="142"/>
      <c r="J100" s="142">
        <f>ROUND(I100*H100,2)</f>
        <v>0</v>
      </c>
      <c r="K100" s="139" t="s">
        <v>157</v>
      </c>
      <c r="L100" s="32"/>
      <c r="M100" s="143" t="s">
        <v>3</v>
      </c>
      <c r="N100" s="144" t="s">
        <v>46</v>
      </c>
      <c r="O100" s="145">
        <v>0</v>
      </c>
      <c r="P100" s="145">
        <f>O100*H100</f>
        <v>0</v>
      </c>
      <c r="Q100" s="145">
        <v>0</v>
      </c>
      <c r="R100" s="145">
        <f>Q100*H100</f>
        <v>0</v>
      </c>
      <c r="S100" s="145">
        <v>0</v>
      </c>
      <c r="T100" s="146">
        <f>S100*H100</f>
        <v>0</v>
      </c>
      <c r="U100" s="31"/>
      <c r="V100" s="31"/>
      <c r="W100" s="31"/>
      <c r="X100" s="31"/>
      <c r="Y100" s="31"/>
      <c r="Z100" s="31"/>
      <c r="AA100" s="31"/>
      <c r="AB100" s="31"/>
      <c r="AC100" s="31"/>
      <c r="AD100" s="31"/>
      <c r="AE100" s="31"/>
      <c r="AR100" s="147" t="s">
        <v>218</v>
      </c>
      <c r="AT100" s="147" t="s">
        <v>147</v>
      </c>
      <c r="AU100" s="147" t="s">
        <v>85</v>
      </c>
      <c r="AY100" s="19" t="s">
        <v>144</v>
      </c>
      <c r="BE100" s="148">
        <f>IF(N100="základní",J100,0)</f>
        <v>0</v>
      </c>
      <c r="BF100" s="148">
        <f>IF(N100="snížená",J100,0)</f>
        <v>0</v>
      </c>
      <c r="BG100" s="148">
        <f>IF(N100="zákl. přenesená",J100,0)</f>
        <v>0</v>
      </c>
      <c r="BH100" s="148">
        <f>IF(N100="sníž. přenesená",J100,0)</f>
        <v>0</v>
      </c>
      <c r="BI100" s="148">
        <f>IF(N100="nulová",J100,0)</f>
        <v>0</v>
      </c>
      <c r="BJ100" s="19" t="s">
        <v>83</v>
      </c>
      <c r="BK100" s="148">
        <f>ROUND(I100*H100,2)</f>
        <v>0</v>
      </c>
      <c r="BL100" s="19" t="s">
        <v>218</v>
      </c>
      <c r="BM100" s="147" t="s">
        <v>1540</v>
      </c>
    </row>
    <row r="101" spans="1:47" s="2" customFormat="1" ht="126.75">
      <c r="A101" s="31"/>
      <c r="B101" s="32"/>
      <c r="C101" s="31"/>
      <c r="D101" s="150" t="s">
        <v>158</v>
      </c>
      <c r="E101" s="31"/>
      <c r="F101" s="163" t="s">
        <v>572</v>
      </c>
      <c r="G101" s="31"/>
      <c r="H101" s="31"/>
      <c r="I101" s="31"/>
      <c r="J101" s="31"/>
      <c r="K101" s="31"/>
      <c r="L101" s="32"/>
      <c r="M101" s="164"/>
      <c r="N101" s="165"/>
      <c r="O101" s="52"/>
      <c r="P101" s="52"/>
      <c r="Q101" s="52"/>
      <c r="R101" s="52"/>
      <c r="S101" s="52"/>
      <c r="T101" s="53"/>
      <c r="U101" s="31"/>
      <c r="V101" s="31"/>
      <c r="W101" s="31"/>
      <c r="X101" s="31"/>
      <c r="Y101" s="31"/>
      <c r="Z101" s="31"/>
      <c r="AA101" s="31"/>
      <c r="AB101" s="31"/>
      <c r="AC101" s="31"/>
      <c r="AD101" s="31"/>
      <c r="AE101" s="31"/>
      <c r="AT101" s="19" t="s">
        <v>158</v>
      </c>
      <c r="AU101" s="19" t="s">
        <v>85</v>
      </c>
    </row>
    <row r="102" spans="1:65" s="2" customFormat="1" ht="49.15" customHeight="1">
      <c r="A102" s="31"/>
      <c r="B102" s="136"/>
      <c r="C102" s="137">
        <v>9</v>
      </c>
      <c r="D102" s="137" t="s">
        <v>147</v>
      </c>
      <c r="E102" s="138" t="s">
        <v>1541</v>
      </c>
      <c r="F102" s="139" t="s">
        <v>1542</v>
      </c>
      <c r="G102" s="140" t="s">
        <v>960</v>
      </c>
      <c r="H102" s="141">
        <v>2</v>
      </c>
      <c r="I102" s="278"/>
      <c r="J102" s="142">
        <f>ROUND(I102*H102,2)</f>
        <v>0</v>
      </c>
      <c r="K102" s="139" t="s">
        <v>151</v>
      </c>
      <c r="L102" s="32"/>
      <c r="M102" s="143" t="s">
        <v>3</v>
      </c>
      <c r="N102" s="144" t="s">
        <v>46</v>
      </c>
      <c r="O102" s="145">
        <v>0</v>
      </c>
      <c r="P102" s="145">
        <f>O102*H102</f>
        <v>0</v>
      </c>
      <c r="Q102" s="145">
        <v>0</v>
      </c>
      <c r="R102" s="145">
        <f>Q102*H102</f>
        <v>0</v>
      </c>
      <c r="S102" s="145">
        <v>0</v>
      </c>
      <c r="T102" s="146">
        <f>S102*H102</f>
        <v>0</v>
      </c>
      <c r="U102" s="31"/>
      <c r="V102" s="274"/>
      <c r="W102" s="275"/>
      <c r="X102" s="31"/>
      <c r="Y102" s="31"/>
      <c r="Z102" s="31"/>
      <c r="AA102" s="31"/>
      <c r="AB102" s="31"/>
      <c r="AC102" s="31"/>
      <c r="AD102" s="31"/>
      <c r="AE102" s="31"/>
      <c r="AR102" s="147" t="s">
        <v>218</v>
      </c>
      <c r="AT102" s="147" t="s">
        <v>147</v>
      </c>
      <c r="AU102" s="147" t="s">
        <v>85</v>
      </c>
      <c r="AY102" s="19" t="s">
        <v>144</v>
      </c>
      <c r="BE102" s="148">
        <f>IF(N102="základní",J102,0)</f>
        <v>0</v>
      </c>
      <c r="BF102" s="148">
        <f>IF(N102="snížená",J102,0)</f>
        <v>0</v>
      </c>
      <c r="BG102" s="148">
        <f>IF(N102="zákl. přenesená",J102,0)</f>
        <v>0</v>
      </c>
      <c r="BH102" s="148">
        <f>IF(N102="sníž. přenesená",J102,0)</f>
        <v>0</v>
      </c>
      <c r="BI102" s="148">
        <f>IF(N102="nulová",J102,0)</f>
        <v>0</v>
      </c>
      <c r="BJ102" s="19" t="s">
        <v>83</v>
      </c>
      <c r="BK102" s="148">
        <f>ROUND(I102*H102,2)</f>
        <v>0</v>
      </c>
      <c r="BL102" s="19" t="s">
        <v>218</v>
      </c>
      <c r="BM102" s="147" t="s">
        <v>1543</v>
      </c>
    </row>
    <row r="103" spans="1:47" s="2" customFormat="1" ht="68.25">
      <c r="A103" s="31"/>
      <c r="B103" s="32"/>
      <c r="C103" s="31"/>
      <c r="D103" s="150" t="s">
        <v>270</v>
      </c>
      <c r="E103" s="31"/>
      <c r="F103" s="163" t="s">
        <v>1544</v>
      </c>
      <c r="G103" s="31"/>
      <c r="H103" s="31"/>
      <c r="I103" s="31"/>
      <c r="J103" s="31"/>
      <c r="K103" s="31"/>
      <c r="L103" s="32"/>
      <c r="M103" s="164"/>
      <c r="N103" s="165"/>
      <c r="O103" s="52"/>
      <c r="P103" s="52"/>
      <c r="Q103" s="52"/>
      <c r="R103" s="52"/>
      <c r="S103" s="52"/>
      <c r="T103" s="53"/>
      <c r="U103" s="31"/>
      <c r="V103" s="31"/>
      <c r="W103" s="31"/>
      <c r="X103" s="31"/>
      <c r="Y103" s="31"/>
      <c r="Z103" s="31"/>
      <c r="AA103" s="31"/>
      <c r="AB103" s="31"/>
      <c r="AC103" s="31"/>
      <c r="AD103" s="31"/>
      <c r="AE103" s="31"/>
      <c r="AT103" s="19" t="s">
        <v>270</v>
      </c>
      <c r="AU103" s="19" t="s">
        <v>85</v>
      </c>
    </row>
    <row r="104" spans="1:65" s="2" customFormat="1" ht="49.15" customHeight="1">
      <c r="A104" s="31"/>
      <c r="B104" s="136"/>
      <c r="C104" s="137">
        <v>10</v>
      </c>
      <c r="D104" s="137" t="s">
        <v>147</v>
      </c>
      <c r="E104" s="138" t="s">
        <v>1545</v>
      </c>
      <c r="F104" s="139" t="s">
        <v>1797</v>
      </c>
      <c r="G104" s="140" t="s">
        <v>960</v>
      </c>
      <c r="H104" s="141">
        <v>3</v>
      </c>
      <c r="I104" s="278"/>
      <c r="J104" s="142">
        <f>ROUND(I104*H104,2)</f>
        <v>0</v>
      </c>
      <c r="K104" s="139" t="s">
        <v>151</v>
      </c>
      <c r="L104" s="32"/>
      <c r="M104" s="143" t="s">
        <v>3</v>
      </c>
      <c r="N104" s="144" t="s">
        <v>46</v>
      </c>
      <c r="O104" s="145">
        <v>0</v>
      </c>
      <c r="P104" s="145">
        <f>O104*H104</f>
        <v>0</v>
      </c>
      <c r="Q104" s="145">
        <v>0</v>
      </c>
      <c r="R104" s="145">
        <f>Q104*H104</f>
        <v>0</v>
      </c>
      <c r="S104" s="145">
        <v>0</v>
      </c>
      <c r="T104" s="146">
        <f>S104*H104</f>
        <v>0</v>
      </c>
      <c r="U104" s="31"/>
      <c r="V104" s="274"/>
      <c r="W104" s="275"/>
      <c r="X104" s="31"/>
      <c r="Y104" s="31"/>
      <c r="Z104" s="31"/>
      <c r="AA104" s="31"/>
      <c r="AB104" s="31"/>
      <c r="AC104" s="31"/>
      <c r="AD104" s="31"/>
      <c r="AE104" s="31"/>
      <c r="AR104" s="147" t="s">
        <v>218</v>
      </c>
      <c r="AT104" s="147" t="s">
        <v>147</v>
      </c>
      <c r="AU104" s="147" t="s">
        <v>85</v>
      </c>
      <c r="AY104" s="19" t="s">
        <v>144</v>
      </c>
      <c r="BE104" s="148">
        <f>IF(N104="základní",J104,0)</f>
        <v>0</v>
      </c>
      <c r="BF104" s="148">
        <f>IF(N104="snížená",J104,0)</f>
        <v>0</v>
      </c>
      <c r="BG104" s="148">
        <f>IF(N104="zákl. přenesená",J104,0)</f>
        <v>0</v>
      </c>
      <c r="BH104" s="148">
        <f>IF(N104="sníž. přenesená",J104,0)</f>
        <v>0</v>
      </c>
      <c r="BI104" s="148">
        <f>IF(N104="nulová",J104,0)</f>
        <v>0</v>
      </c>
      <c r="BJ104" s="19" t="s">
        <v>83</v>
      </c>
      <c r="BK104" s="148">
        <f>ROUND(I104*H104,2)</f>
        <v>0</v>
      </c>
      <c r="BL104" s="19" t="s">
        <v>218</v>
      </c>
      <c r="BM104" s="147" t="s">
        <v>1546</v>
      </c>
    </row>
    <row r="105" spans="1:47" s="2" customFormat="1" ht="68.25">
      <c r="A105" s="31"/>
      <c r="B105" s="32"/>
      <c r="C105" s="31"/>
      <c r="D105" s="150" t="s">
        <v>270</v>
      </c>
      <c r="E105" s="31"/>
      <c r="F105" s="163" t="s">
        <v>1544</v>
      </c>
      <c r="G105" s="31"/>
      <c r="H105" s="31"/>
      <c r="I105" s="279"/>
      <c r="J105" s="31"/>
      <c r="K105" s="31"/>
      <c r="L105" s="32"/>
      <c r="M105" s="164"/>
      <c r="N105" s="165"/>
      <c r="O105" s="52"/>
      <c r="P105" s="52"/>
      <c r="Q105" s="52"/>
      <c r="R105" s="52"/>
      <c r="S105" s="52"/>
      <c r="T105" s="53"/>
      <c r="U105" s="31"/>
      <c r="V105" s="31"/>
      <c r="W105" s="31"/>
      <c r="X105" s="31"/>
      <c r="Y105" s="31"/>
      <c r="Z105" s="31"/>
      <c r="AA105" s="31"/>
      <c r="AB105" s="31"/>
      <c r="AC105" s="31"/>
      <c r="AD105" s="31"/>
      <c r="AE105" s="31"/>
      <c r="AT105" s="19" t="s">
        <v>270</v>
      </c>
      <c r="AU105" s="19" t="s">
        <v>85</v>
      </c>
    </row>
    <row r="106" spans="1:65" s="2" customFormat="1" ht="49.15" customHeight="1">
      <c r="A106" s="31"/>
      <c r="B106" s="136"/>
      <c r="C106" s="137">
        <v>11</v>
      </c>
      <c r="D106" s="137" t="s">
        <v>147</v>
      </c>
      <c r="E106" s="138" t="s">
        <v>1547</v>
      </c>
      <c r="F106" s="139" t="s">
        <v>1798</v>
      </c>
      <c r="G106" s="140" t="s">
        <v>960</v>
      </c>
      <c r="H106" s="141">
        <v>2</v>
      </c>
      <c r="I106" s="278"/>
      <c r="J106" s="142">
        <f>ROUND(I106*H106,2)</f>
        <v>0</v>
      </c>
      <c r="K106" s="139" t="s">
        <v>151</v>
      </c>
      <c r="L106" s="32"/>
      <c r="M106" s="143" t="s">
        <v>3</v>
      </c>
      <c r="N106" s="144" t="s">
        <v>46</v>
      </c>
      <c r="O106" s="145">
        <v>0</v>
      </c>
      <c r="P106" s="145">
        <f>O106*H106</f>
        <v>0</v>
      </c>
      <c r="Q106" s="145">
        <v>0</v>
      </c>
      <c r="R106" s="145">
        <f>Q106*H106</f>
        <v>0</v>
      </c>
      <c r="S106" s="145">
        <v>0</v>
      </c>
      <c r="T106" s="146">
        <f>S106*H106</f>
        <v>0</v>
      </c>
      <c r="U106" s="31"/>
      <c r="V106" s="274"/>
      <c r="W106" s="275"/>
      <c r="X106" s="31"/>
      <c r="Y106" s="31"/>
      <c r="Z106" s="31"/>
      <c r="AA106" s="31"/>
      <c r="AB106" s="31"/>
      <c r="AC106" s="31"/>
      <c r="AD106" s="31"/>
      <c r="AE106" s="31"/>
      <c r="AR106" s="147" t="s">
        <v>218</v>
      </c>
      <c r="AT106" s="147" t="s">
        <v>147</v>
      </c>
      <c r="AU106" s="147" t="s">
        <v>85</v>
      </c>
      <c r="AY106" s="19" t="s">
        <v>144</v>
      </c>
      <c r="BE106" s="148">
        <f>IF(N106="základní",J106,0)</f>
        <v>0</v>
      </c>
      <c r="BF106" s="148">
        <f>IF(N106="snížená",J106,0)</f>
        <v>0</v>
      </c>
      <c r="BG106" s="148">
        <f>IF(N106="zákl. přenesená",J106,0)</f>
        <v>0</v>
      </c>
      <c r="BH106" s="148">
        <f>IF(N106="sníž. přenesená",J106,0)</f>
        <v>0</v>
      </c>
      <c r="BI106" s="148">
        <f>IF(N106="nulová",J106,0)</f>
        <v>0</v>
      </c>
      <c r="BJ106" s="19" t="s">
        <v>83</v>
      </c>
      <c r="BK106" s="148">
        <f>ROUND(I106*H106,2)</f>
        <v>0</v>
      </c>
      <c r="BL106" s="19" t="s">
        <v>218</v>
      </c>
      <c r="BM106" s="147" t="s">
        <v>1548</v>
      </c>
    </row>
    <row r="107" spans="1:47" s="2" customFormat="1" ht="68.25">
      <c r="A107" s="31"/>
      <c r="B107" s="32"/>
      <c r="C107" s="31"/>
      <c r="D107" s="150" t="s">
        <v>270</v>
      </c>
      <c r="E107" s="31"/>
      <c r="F107" s="163" t="s">
        <v>1544</v>
      </c>
      <c r="G107" s="31"/>
      <c r="H107" s="31"/>
      <c r="I107" s="279"/>
      <c r="J107" s="31"/>
      <c r="K107" s="31"/>
      <c r="L107" s="32"/>
      <c r="M107" s="164"/>
      <c r="N107" s="165"/>
      <c r="O107" s="52"/>
      <c r="P107" s="52"/>
      <c r="Q107" s="52"/>
      <c r="R107" s="52"/>
      <c r="S107" s="52"/>
      <c r="T107" s="53"/>
      <c r="U107" s="31"/>
      <c r="V107" s="31"/>
      <c r="W107" s="31"/>
      <c r="X107" s="31"/>
      <c r="Y107" s="31"/>
      <c r="Z107" s="31"/>
      <c r="AA107" s="31"/>
      <c r="AB107" s="31"/>
      <c r="AC107" s="31"/>
      <c r="AD107" s="31"/>
      <c r="AE107" s="31"/>
      <c r="AT107" s="19" t="s">
        <v>270</v>
      </c>
      <c r="AU107" s="19" t="s">
        <v>85</v>
      </c>
    </row>
    <row r="108" spans="1:65" s="2" customFormat="1" ht="49.15" customHeight="1">
      <c r="A108" s="31"/>
      <c r="B108" s="136"/>
      <c r="C108" s="137">
        <v>12</v>
      </c>
      <c r="D108" s="137" t="s">
        <v>147</v>
      </c>
      <c r="E108" s="138" t="s">
        <v>1549</v>
      </c>
      <c r="F108" s="139" t="s">
        <v>1799</v>
      </c>
      <c r="G108" s="140" t="s">
        <v>960</v>
      </c>
      <c r="H108" s="141">
        <v>1</v>
      </c>
      <c r="I108" s="278"/>
      <c r="J108" s="142">
        <f>ROUND(I108*H108,2)</f>
        <v>0</v>
      </c>
      <c r="K108" s="139" t="s">
        <v>151</v>
      </c>
      <c r="L108" s="32"/>
      <c r="M108" s="143" t="s">
        <v>3</v>
      </c>
      <c r="N108" s="144" t="s">
        <v>46</v>
      </c>
      <c r="O108" s="145">
        <v>0</v>
      </c>
      <c r="P108" s="145">
        <f>O108*H108</f>
        <v>0</v>
      </c>
      <c r="Q108" s="145">
        <v>0</v>
      </c>
      <c r="R108" s="145">
        <f>Q108*H108</f>
        <v>0</v>
      </c>
      <c r="S108" s="145">
        <v>0</v>
      </c>
      <c r="T108" s="146">
        <f>S108*H108</f>
        <v>0</v>
      </c>
      <c r="U108" s="31"/>
      <c r="V108" s="274"/>
      <c r="W108" s="275"/>
      <c r="X108" s="31"/>
      <c r="Y108" s="31"/>
      <c r="Z108" s="31"/>
      <c r="AA108" s="31"/>
      <c r="AB108" s="31"/>
      <c r="AC108" s="31"/>
      <c r="AD108" s="31"/>
      <c r="AE108" s="31"/>
      <c r="AR108" s="147" t="s">
        <v>218</v>
      </c>
      <c r="AT108" s="147" t="s">
        <v>147</v>
      </c>
      <c r="AU108" s="147" t="s">
        <v>85</v>
      </c>
      <c r="AY108" s="19" t="s">
        <v>144</v>
      </c>
      <c r="BE108" s="148">
        <f>IF(N108="základní",J108,0)</f>
        <v>0</v>
      </c>
      <c r="BF108" s="148">
        <f>IF(N108="snížená",J108,0)</f>
        <v>0</v>
      </c>
      <c r="BG108" s="148">
        <f>IF(N108="zákl. přenesená",J108,0)</f>
        <v>0</v>
      </c>
      <c r="BH108" s="148">
        <f>IF(N108="sníž. přenesená",J108,0)</f>
        <v>0</v>
      </c>
      <c r="BI108" s="148">
        <f>IF(N108="nulová",J108,0)</f>
        <v>0</v>
      </c>
      <c r="BJ108" s="19" t="s">
        <v>83</v>
      </c>
      <c r="BK108" s="148">
        <f>ROUND(I108*H108,2)</f>
        <v>0</v>
      </c>
      <c r="BL108" s="19" t="s">
        <v>218</v>
      </c>
      <c r="BM108" s="147" t="s">
        <v>1550</v>
      </c>
    </row>
    <row r="109" spans="1:47" s="2" customFormat="1" ht="68.25">
      <c r="A109" s="31"/>
      <c r="B109" s="32"/>
      <c r="C109" s="31"/>
      <c r="D109" s="150" t="s">
        <v>270</v>
      </c>
      <c r="E109" s="31"/>
      <c r="F109" s="163" t="s">
        <v>1544</v>
      </c>
      <c r="G109" s="31"/>
      <c r="H109" s="31"/>
      <c r="I109" s="279"/>
      <c r="J109" s="31"/>
      <c r="K109" s="31"/>
      <c r="L109" s="32"/>
      <c r="M109" s="164"/>
      <c r="N109" s="165"/>
      <c r="O109" s="52"/>
      <c r="P109" s="52"/>
      <c r="Q109" s="52"/>
      <c r="R109" s="52"/>
      <c r="S109" s="52"/>
      <c r="T109" s="53"/>
      <c r="U109" s="31"/>
      <c r="V109" s="31"/>
      <c r="W109" s="31"/>
      <c r="X109" s="31"/>
      <c r="Y109" s="31"/>
      <c r="Z109" s="31"/>
      <c r="AA109" s="31"/>
      <c r="AB109" s="31"/>
      <c r="AC109" s="31"/>
      <c r="AD109" s="31"/>
      <c r="AE109" s="31"/>
      <c r="AT109" s="19" t="s">
        <v>270</v>
      </c>
      <c r="AU109" s="19" t="s">
        <v>85</v>
      </c>
    </row>
    <row r="110" spans="1:65" s="2" customFormat="1" ht="49.15" customHeight="1">
      <c r="A110" s="31"/>
      <c r="B110" s="136"/>
      <c r="C110" s="137">
        <v>13</v>
      </c>
      <c r="D110" s="137" t="s">
        <v>147</v>
      </c>
      <c r="E110" s="138" t="s">
        <v>1551</v>
      </c>
      <c r="F110" s="139" t="s">
        <v>1800</v>
      </c>
      <c r="G110" s="140" t="s">
        <v>960</v>
      </c>
      <c r="H110" s="141">
        <v>1</v>
      </c>
      <c r="I110" s="278"/>
      <c r="J110" s="142">
        <f>ROUND(I110*H110,2)</f>
        <v>0</v>
      </c>
      <c r="K110" s="139" t="s">
        <v>151</v>
      </c>
      <c r="L110" s="32"/>
      <c r="M110" s="143" t="s">
        <v>3</v>
      </c>
      <c r="N110" s="144" t="s">
        <v>46</v>
      </c>
      <c r="O110" s="145">
        <v>0</v>
      </c>
      <c r="P110" s="145">
        <f>O110*H110</f>
        <v>0</v>
      </c>
      <c r="Q110" s="145">
        <v>0</v>
      </c>
      <c r="R110" s="145">
        <f>Q110*H110</f>
        <v>0</v>
      </c>
      <c r="S110" s="145">
        <v>0</v>
      </c>
      <c r="T110" s="146">
        <f>S110*H110</f>
        <v>0</v>
      </c>
      <c r="U110" s="31"/>
      <c r="V110" s="274"/>
      <c r="W110" s="275"/>
      <c r="X110" s="31"/>
      <c r="Y110" s="31"/>
      <c r="Z110" s="31"/>
      <c r="AA110" s="31"/>
      <c r="AB110" s="31"/>
      <c r="AC110" s="31"/>
      <c r="AD110" s="31"/>
      <c r="AE110" s="31"/>
      <c r="AR110" s="147" t="s">
        <v>218</v>
      </c>
      <c r="AT110" s="147" t="s">
        <v>147</v>
      </c>
      <c r="AU110" s="147" t="s">
        <v>85</v>
      </c>
      <c r="AY110" s="19" t="s">
        <v>144</v>
      </c>
      <c r="BE110" s="148">
        <f>IF(N110="základní",J110,0)</f>
        <v>0</v>
      </c>
      <c r="BF110" s="148">
        <f>IF(N110="snížená",J110,0)</f>
        <v>0</v>
      </c>
      <c r="BG110" s="148">
        <f>IF(N110="zákl. přenesená",J110,0)</f>
        <v>0</v>
      </c>
      <c r="BH110" s="148">
        <f>IF(N110="sníž. přenesená",J110,0)</f>
        <v>0</v>
      </c>
      <c r="BI110" s="148">
        <f>IF(N110="nulová",J110,0)</f>
        <v>0</v>
      </c>
      <c r="BJ110" s="19" t="s">
        <v>83</v>
      </c>
      <c r="BK110" s="148">
        <f>ROUND(I110*H110,2)</f>
        <v>0</v>
      </c>
      <c r="BL110" s="19" t="s">
        <v>218</v>
      </c>
      <c r="BM110" s="147" t="s">
        <v>1552</v>
      </c>
    </row>
    <row r="111" spans="1:47" s="2" customFormat="1" ht="68.25">
      <c r="A111" s="31"/>
      <c r="B111" s="32"/>
      <c r="C111" s="31"/>
      <c r="D111" s="150" t="s">
        <v>270</v>
      </c>
      <c r="E111" s="31"/>
      <c r="F111" s="163" t="s">
        <v>1544</v>
      </c>
      <c r="G111" s="31"/>
      <c r="H111" s="31"/>
      <c r="I111" s="279"/>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270</v>
      </c>
      <c r="AU111" s="19" t="s">
        <v>85</v>
      </c>
    </row>
    <row r="112" spans="1:65" s="2" customFormat="1" ht="49.15" customHeight="1">
      <c r="A112" s="31"/>
      <c r="B112" s="136"/>
      <c r="C112" s="137">
        <v>14</v>
      </c>
      <c r="D112" s="137" t="s">
        <v>147</v>
      </c>
      <c r="E112" s="138" t="s">
        <v>1553</v>
      </c>
      <c r="F112" s="139" t="s">
        <v>1801</v>
      </c>
      <c r="G112" s="140" t="s">
        <v>960</v>
      </c>
      <c r="H112" s="141">
        <v>1</v>
      </c>
      <c r="I112" s="278"/>
      <c r="J112" s="142">
        <f>ROUND(I112*H112,2)</f>
        <v>0</v>
      </c>
      <c r="K112" s="139" t="s">
        <v>151</v>
      </c>
      <c r="L112" s="32"/>
      <c r="M112" s="143" t="s">
        <v>3</v>
      </c>
      <c r="N112" s="144" t="s">
        <v>46</v>
      </c>
      <c r="O112" s="145">
        <v>0</v>
      </c>
      <c r="P112" s="145">
        <f>O112*H112</f>
        <v>0</v>
      </c>
      <c r="Q112" s="145">
        <v>0</v>
      </c>
      <c r="R112" s="145">
        <f>Q112*H112</f>
        <v>0</v>
      </c>
      <c r="S112" s="145">
        <v>0</v>
      </c>
      <c r="T112" s="146">
        <f>S112*H112</f>
        <v>0</v>
      </c>
      <c r="U112" s="31"/>
      <c r="V112" s="274"/>
      <c r="W112" s="275"/>
      <c r="X112" s="31"/>
      <c r="Y112" s="31"/>
      <c r="Z112" s="31"/>
      <c r="AA112" s="31"/>
      <c r="AB112" s="31"/>
      <c r="AC112" s="31"/>
      <c r="AD112" s="31"/>
      <c r="AE112" s="31"/>
      <c r="AR112" s="147" t="s">
        <v>218</v>
      </c>
      <c r="AT112" s="147" t="s">
        <v>147</v>
      </c>
      <c r="AU112" s="147" t="s">
        <v>85</v>
      </c>
      <c r="AY112" s="19" t="s">
        <v>144</v>
      </c>
      <c r="BE112" s="148">
        <f>IF(N112="základní",J112,0)</f>
        <v>0</v>
      </c>
      <c r="BF112" s="148">
        <f>IF(N112="snížená",J112,0)</f>
        <v>0</v>
      </c>
      <c r="BG112" s="148">
        <f>IF(N112="zákl. přenesená",J112,0)</f>
        <v>0</v>
      </c>
      <c r="BH112" s="148">
        <f>IF(N112="sníž. přenesená",J112,0)</f>
        <v>0</v>
      </c>
      <c r="BI112" s="148">
        <f>IF(N112="nulová",J112,0)</f>
        <v>0</v>
      </c>
      <c r="BJ112" s="19" t="s">
        <v>83</v>
      </c>
      <c r="BK112" s="148">
        <f>ROUND(I112*H112,2)</f>
        <v>0</v>
      </c>
      <c r="BL112" s="19" t="s">
        <v>218</v>
      </c>
      <c r="BM112" s="147" t="s">
        <v>1554</v>
      </c>
    </row>
    <row r="113" spans="1:47" s="2" customFormat="1" ht="68.25">
      <c r="A113" s="31"/>
      <c r="B113" s="32"/>
      <c r="C113" s="31"/>
      <c r="D113" s="150" t="s">
        <v>270</v>
      </c>
      <c r="E113" s="31"/>
      <c r="F113" s="163" t="s">
        <v>1544</v>
      </c>
      <c r="G113" s="31"/>
      <c r="H113" s="31"/>
      <c r="I113" s="279"/>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270</v>
      </c>
      <c r="AU113" s="19" t="s">
        <v>85</v>
      </c>
    </row>
    <row r="114" spans="1:65" s="2" customFormat="1" ht="62.65" customHeight="1">
      <c r="A114" s="31"/>
      <c r="B114" s="136"/>
      <c r="C114" s="137">
        <v>15</v>
      </c>
      <c r="D114" s="137" t="s">
        <v>147</v>
      </c>
      <c r="E114" s="138" t="s">
        <v>1555</v>
      </c>
      <c r="F114" s="139" t="s">
        <v>1802</v>
      </c>
      <c r="G114" s="140" t="s">
        <v>960</v>
      </c>
      <c r="H114" s="141">
        <v>2</v>
      </c>
      <c r="I114" s="278"/>
      <c r="J114" s="142">
        <f>ROUND(I114*H114,2)</f>
        <v>0</v>
      </c>
      <c r="K114" s="139" t="s">
        <v>151</v>
      </c>
      <c r="L114" s="32"/>
      <c r="M114" s="143" t="s">
        <v>3</v>
      </c>
      <c r="N114" s="144" t="s">
        <v>46</v>
      </c>
      <c r="O114" s="145">
        <v>0</v>
      </c>
      <c r="P114" s="145">
        <f>O114*H114</f>
        <v>0</v>
      </c>
      <c r="Q114" s="145">
        <v>0</v>
      </c>
      <c r="R114" s="145">
        <f>Q114*H114</f>
        <v>0</v>
      </c>
      <c r="S114" s="145">
        <v>0</v>
      </c>
      <c r="T114" s="146">
        <f>S114*H114</f>
        <v>0</v>
      </c>
      <c r="U114" s="31"/>
      <c r="V114" s="274"/>
      <c r="W114" s="275"/>
      <c r="X114" s="31"/>
      <c r="Y114" s="31"/>
      <c r="Z114" s="31"/>
      <c r="AA114" s="31"/>
      <c r="AB114" s="31"/>
      <c r="AC114" s="31"/>
      <c r="AD114" s="31"/>
      <c r="AE114" s="31"/>
      <c r="AR114" s="147" t="s">
        <v>218</v>
      </c>
      <c r="AT114" s="147" t="s">
        <v>147</v>
      </c>
      <c r="AU114" s="147" t="s">
        <v>85</v>
      </c>
      <c r="AY114" s="19" t="s">
        <v>144</v>
      </c>
      <c r="BE114" s="148">
        <f>IF(N114="základní",J114,0)</f>
        <v>0</v>
      </c>
      <c r="BF114" s="148">
        <f>IF(N114="snížená",J114,0)</f>
        <v>0</v>
      </c>
      <c r="BG114" s="148">
        <f>IF(N114="zákl. přenesená",J114,0)</f>
        <v>0</v>
      </c>
      <c r="BH114" s="148">
        <f>IF(N114="sníž. přenesená",J114,0)</f>
        <v>0</v>
      </c>
      <c r="BI114" s="148">
        <f>IF(N114="nulová",J114,0)</f>
        <v>0</v>
      </c>
      <c r="BJ114" s="19" t="s">
        <v>83</v>
      </c>
      <c r="BK114" s="148">
        <f>ROUND(I114*H114,2)</f>
        <v>0</v>
      </c>
      <c r="BL114" s="19" t="s">
        <v>218</v>
      </c>
      <c r="BM114" s="147" t="s">
        <v>1556</v>
      </c>
    </row>
    <row r="115" spans="1:47" s="2" customFormat="1" ht="68.25">
      <c r="A115" s="31"/>
      <c r="B115" s="32"/>
      <c r="C115" s="31"/>
      <c r="D115" s="150" t="s">
        <v>270</v>
      </c>
      <c r="E115" s="31"/>
      <c r="F115" s="163" t="s">
        <v>1544</v>
      </c>
      <c r="G115" s="31"/>
      <c r="H115" s="31"/>
      <c r="I115" s="279"/>
      <c r="J115" s="31"/>
      <c r="K115" s="31"/>
      <c r="L115" s="32"/>
      <c r="M115" s="164"/>
      <c r="N115" s="165"/>
      <c r="O115" s="52"/>
      <c r="P115" s="52"/>
      <c r="Q115" s="52"/>
      <c r="R115" s="52"/>
      <c r="S115" s="52"/>
      <c r="T115" s="53"/>
      <c r="U115" s="31"/>
      <c r="V115" s="31"/>
      <c r="W115" s="31"/>
      <c r="X115" s="31"/>
      <c r="Y115" s="31"/>
      <c r="Z115" s="31"/>
      <c r="AA115" s="31"/>
      <c r="AB115" s="31"/>
      <c r="AC115" s="31"/>
      <c r="AD115" s="31"/>
      <c r="AE115" s="31"/>
      <c r="AT115" s="19" t="s">
        <v>270</v>
      </c>
      <c r="AU115" s="19" t="s">
        <v>85</v>
      </c>
    </row>
    <row r="116" spans="1:65" s="2" customFormat="1" ht="49.15" customHeight="1">
      <c r="A116" s="31"/>
      <c r="B116" s="136"/>
      <c r="C116" s="137">
        <v>16</v>
      </c>
      <c r="D116" s="137" t="s">
        <v>147</v>
      </c>
      <c r="E116" s="138" t="s">
        <v>1557</v>
      </c>
      <c r="F116" s="139" t="s">
        <v>1803</v>
      </c>
      <c r="G116" s="140" t="s">
        <v>960</v>
      </c>
      <c r="H116" s="141">
        <v>2</v>
      </c>
      <c r="I116" s="278"/>
      <c r="J116" s="142">
        <f>ROUND(I116*H116,2)</f>
        <v>0</v>
      </c>
      <c r="K116" s="139" t="s">
        <v>151</v>
      </c>
      <c r="L116" s="32"/>
      <c r="M116" s="143" t="s">
        <v>3</v>
      </c>
      <c r="N116" s="144" t="s">
        <v>46</v>
      </c>
      <c r="O116" s="145">
        <v>0</v>
      </c>
      <c r="P116" s="145">
        <f>O116*H116</f>
        <v>0</v>
      </c>
      <c r="Q116" s="145">
        <v>0</v>
      </c>
      <c r="R116" s="145">
        <f>Q116*H116</f>
        <v>0</v>
      </c>
      <c r="S116" s="145">
        <v>0</v>
      </c>
      <c r="T116" s="146">
        <f>S116*H116</f>
        <v>0</v>
      </c>
      <c r="U116" s="31"/>
      <c r="V116" s="274"/>
      <c r="W116" s="275"/>
      <c r="X116" s="31"/>
      <c r="Y116" s="31"/>
      <c r="Z116" s="31"/>
      <c r="AA116" s="31"/>
      <c r="AB116" s="31"/>
      <c r="AC116" s="31"/>
      <c r="AD116" s="31"/>
      <c r="AE116" s="31"/>
      <c r="AR116" s="147" t="s">
        <v>218</v>
      </c>
      <c r="AT116" s="147" t="s">
        <v>147</v>
      </c>
      <c r="AU116" s="147" t="s">
        <v>85</v>
      </c>
      <c r="AY116" s="19" t="s">
        <v>144</v>
      </c>
      <c r="BE116" s="148">
        <f>IF(N116="základní",J116,0)</f>
        <v>0</v>
      </c>
      <c r="BF116" s="148">
        <f>IF(N116="snížená",J116,0)</f>
        <v>0</v>
      </c>
      <c r="BG116" s="148">
        <f>IF(N116="zákl. přenesená",J116,0)</f>
        <v>0</v>
      </c>
      <c r="BH116" s="148">
        <f>IF(N116="sníž. přenesená",J116,0)</f>
        <v>0</v>
      </c>
      <c r="BI116" s="148">
        <f>IF(N116="nulová",J116,0)</f>
        <v>0</v>
      </c>
      <c r="BJ116" s="19" t="s">
        <v>83</v>
      </c>
      <c r="BK116" s="148">
        <f>ROUND(I116*H116,2)</f>
        <v>0</v>
      </c>
      <c r="BL116" s="19" t="s">
        <v>218</v>
      </c>
      <c r="BM116" s="147" t="s">
        <v>1558</v>
      </c>
    </row>
    <row r="117" spans="1:47" s="2" customFormat="1" ht="68.25">
      <c r="A117" s="31"/>
      <c r="B117" s="32"/>
      <c r="C117" s="31"/>
      <c r="D117" s="150" t="s">
        <v>270</v>
      </c>
      <c r="E117" s="31"/>
      <c r="F117" s="163" t="s">
        <v>1544</v>
      </c>
      <c r="G117" s="31"/>
      <c r="H117" s="31"/>
      <c r="I117" s="279"/>
      <c r="J117" s="31"/>
      <c r="K117" s="31"/>
      <c r="L117" s="32"/>
      <c r="M117" s="164"/>
      <c r="N117" s="165"/>
      <c r="O117" s="52"/>
      <c r="P117" s="52"/>
      <c r="Q117" s="52"/>
      <c r="R117" s="52"/>
      <c r="S117" s="52"/>
      <c r="T117" s="53"/>
      <c r="U117" s="31"/>
      <c r="V117" s="31"/>
      <c r="W117" s="31"/>
      <c r="X117" s="31"/>
      <c r="Y117" s="31"/>
      <c r="Z117" s="31"/>
      <c r="AA117" s="31"/>
      <c r="AB117" s="31"/>
      <c r="AC117" s="31"/>
      <c r="AD117" s="31"/>
      <c r="AE117" s="31"/>
      <c r="AT117" s="19" t="s">
        <v>270</v>
      </c>
      <c r="AU117" s="19" t="s">
        <v>85</v>
      </c>
    </row>
    <row r="118" spans="1:65" s="2" customFormat="1" ht="49.15" customHeight="1">
      <c r="A118" s="31"/>
      <c r="B118" s="136"/>
      <c r="C118" s="137">
        <v>17</v>
      </c>
      <c r="D118" s="137" t="s">
        <v>147</v>
      </c>
      <c r="E118" s="138" t="s">
        <v>1559</v>
      </c>
      <c r="F118" s="139" t="s">
        <v>1804</v>
      </c>
      <c r="G118" s="140" t="s">
        <v>960</v>
      </c>
      <c r="H118" s="141">
        <v>2</v>
      </c>
      <c r="I118" s="278"/>
      <c r="J118" s="142">
        <f>ROUND(I118*H118,2)</f>
        <v>0</v>
      </c>
      <c r="K118" s="139" t="s">
        <v>151</v>
      </c>
      <c r="L118" s="32"/>
      <c r="M118" s="143" t="s">
        <v>3</v>
      </c>
      <c r="N118" s="144" t="s">
        <v>46</v>
      </c>
      <c r="O118" s="145">
        <v>0</v>
      </c>
      <c r="P118" s="145">
        <f>O118*H118</f>
        <v>0</v>
      </c>
      <c r="Q118" s="145">
        <v>0</v>
      </c>
      <c r="R118" s="145">
        <f>Q118*H118</f>
        <v>0</v>
      </c>
      <c r="S118" s="145">
        <v>0</v>
      </c>
      <c r="T118" s="146">
        <f>S118*H118</f>
        <v>0</v>
      </c>
      <c r="U118" s="31"/>
      <c r="V118" s="31"/>
      <c r="W118" s="31"/>
      <c r="X118" s="31"/>
      <c r="Y118" s="31"/>
      <c r="Z118" s="31"/>
      <c r="AA118" s="31"/>
      <c r="AB118" s="31"/>
      <c r="AC118" s="31"/>
      <c r="AD118" s="31"/>
      <c r="AE118" s="31"/>
      <c r="AR118" s="147" t="s">
        <v>218</v>
      </c>
      <c r="AT118" s="147" t="s">
        <v>147</v>
      </c>
      <c r="AU118" s="147" t="s">
        <v>85</v>
      </c>
      <c r="AY118" s="19" t="s">
        <v>144</v>
      </c>
      <c r="BE118" s="148">
        <f>IF(N118="základní",J118,0)</f>
        <v>0</v>
      </c>
      <c r="BF118" s="148">
        <f>IF(N118="snížená",J118,0)</f>
        <v>0</v>
      </c>
      <c r="BG118" s="148">
        <f>IF(N118="zákl. přenesená",J118,0)</f>
        <v>0</v>
      </c>
      <c r="BH118" s="148">
        <f>IF(N118="sníž. přenesená",J118,0)</f>
        <v>0</v>
      </c>
      <c r="BI118" s="148">
        <f>IF(N118="nulová",J118,0)</f>
        <v>0</v>
      </c>
      <c r="BJ118" s="19" t="s">
        <v>83</v>
      </c>
      <c r="BK118" s="148">
        <f>ROUND(I118*H118,2)</f>
        <v>0</v>
      </c>
      <c r="BL118" s="19" t="s">
        <v>218</v>
      </c>
      <c r="BM118" s="147" t="s">
        <v>1560</v>
      </c>
    </row>
    <row r="119" spans="1:47" s="2" customFormat="1" ht="68.25">
      <c r="A119" s="31"/>
      <c r="B119" s="32"/>
      <c r="C119" s="31"/>
      <c r="D119" s="150" t="s">
        <v>270</v>
      </c>
      <c r="E119" s="31"/>
      <c r="F119" s="163" t="s">
        <v>1561</v>
      </c>
      <c r="G119" s="31"/>
      <c r="H119" s="31"/>
      <c r="I119" s="279"/>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270</v>
      </c>
      <c r="AU119" s="19" t="s">
        <v>85</v>
      </c>
    </row>
    <row r="120" spans="1:65" s="2" customFormat="1" ht="49.15" customHeight="1">
      <c r="A120" s="31"/>
      <c r="B120" s="136"/>
      <c r="C120" s="137">
        <v>18</v>
      </c>
      <c r="D120" s="137" t="s">
        <v>147</v>
      </c>
      <c r="E120" s="138" t="s">
        <v>1562</v>
      </c>
      <c r="F120" s="139" t="s">
        <v>1805</v>
      </c>
      <c r="G120" s="140" t="s">
        <v>960</v>
      </c>
      <c r="H120" s="141">
        <v>4</v>
      </c>
      <c r="I120" s="278"/>
      <c r="J120" s="142">
        <f>ROUND(I120*H120,2)</f>
        <v>0</v>
      </c>
      <c r="K120" s="139" t="s">
        <v>151</v>
      </c>
      <c r="L120" s="32"/>
      <c r="M120" s="143" t="s">
        <v>3</v>
      </c>
      <c r="N120" s="144" t="s">
        <v>46</v>
      </c>
      <c r="O120" s="145">
        <v>0</v>
      </c>
      <c r="P120" s="145">
        <f>O120*H120</f>
        <v>0</v>
      </c>
      <c r="Q120" s="145">
        <v>0</v>
      </c>
      <c r="R120" s="145">
        <f>Q120*H120</f>
        <v>0</v>
      </c>
      <c r="S120" s="145">
        <v>0</v>
      </c>
      <c r="T120" s="146">
        <f>S120*H120</f>
        <v>0</v>
      </c>
      <c r="U120" s="31"/>
      <c r="V120" s="31"/>
      <c r="W120" s="31"/>
      <c r="X120" s="31"/>
      <c r="Y120" s="31"/>
      <c r="Z120" s="31"/>
      <c r="AA120" s="31"/>
      <c r="AB120" s="31"/>
      <c r="AC120" s="31"/>
      <c r="AD120" s="31"/>
      <c r="AE120" s="31"/>
      <c r="AR120" s="147" t="s">
        <v>218</v>
      </c>
      <c r="AT120" s="147" t="s">
        <v>147</v>
      </c>
      <c r="AU120" s="147" t="s">
        <v>85</v>
      </c>
      <c r="AY120" s="19" t="s">
        <v>144</v>
      </c>
      <c r="BE120" s="148">
        <f>IF(N120="základní",J120,0)</f>
        <v>0</v>
      </c>
      <c r="BF120" s="148">
        <f>IF(N120="snížená",J120,0)</f>
        <v>0</v>
      </c>
      <c r="BG120" s="148">
        <f>IF(N120="zákl. přenesená",J120,0)</f>
        <v>0</v>
      </c>
      <c r="BH120" s="148">
        <f>IF(N120="sníž. přenesená",J120,0)</f>
        <v>0</v>
      </c>
      <c r="BI120" s="148">
        <f>IF(N120="nulová",J120,0)</f>
        <v>0</v>
      </c>
      <c r="BJ120" s="19" t="s">
        <v>83</v>
      </c>
      <c r="BK120" s="148">
        <f>ROUND(I120*H120,2)</f>
        <v>0</v>
      </c>
      <c r="BL120" s="19" t="s">
        <v>218</v>
      </c>
      <c r="BM120" s="147" t="s">
        <v>1563</v>
      </c>
    </row>
    <row r="121" spans="1:47" s="2" customFormat="1" ht="68.25">
      <c r="A121" s="31"/>
      <c r="B121" s="32"/>
      <c r="C121" s="31"/>
      <c r="D121" s="150" t="s">
        <v>270</v>
      </c>
      <c r="E121" s="31"/>
      <c r="F121" s="163" t="s">
        <v>1561</v>
      </c>
      <c r="G121" s="31"/>
      <c r="H121" s="31"/>
      <c r="I121" s="279"/>
      <c r="J121" s="31"/>
      <c r="K121" s="31"/>
      <c r="L121" s="32"/>
      <c r="M121" s="164"/>
      <c r="N121" s="165"/>
      <c r="O121" s="52"/>
      <c r="P121" s="52"/>
      <c r="Q121" s="52"/>
      <c r="R121" s="52"/>
      <c r="S121" s="52"/>
      <c r="T121" s="53"/>
      <c r="U121" s="31"/>
      <c r="V121" s="31"/>
      <c r="W121" s="31"/>
      <c r="X121" s="31"/>
      <c r="Y121" s="31"/>
      <c r="Z121" s="31"/>
      <c r="AA121" s="31"/>
      <c r="AB121" s="31"/>
      <c r="AC121" s="31"/>
      <c r="AD121" s="31"/>
      <c r="AE121" s="31"/>
      <c r="AT121" s="19" t="s">
        <v>270</v>
      </c>
      <c r="AU121" s="19" t="s">
        <v>85</v>
      </c>
    </row>
    <row r="122" spans="1:65" s="2" customFormat="1" ht="49.15" customHeight="1">
      <c r="A122" s="31"/>
      <c r="B122" s="136"/>
      <c r="C122" s="137">
        <v>19</v>
      </c>
      <c r="D122" s="137" t="s">
        <v>147</v>
      </c>
      <c r="E122" s="138" t="s">
        <v>1564</v>
      </c>
      <c r="F122" s="139" t="s">
        <v>1806</v>
      </c>
      <c r="G122" s="140" t="s">
        <v>960</v>
      </c>
      <c r="H122" s="141">
        <v>1</v>
      </c>
      <c r="I122" s="278"/>
      <c r="J122" s="142">
        <f>ROUND(I122*H122,2)</f>
        <v>0</v>
      </c>
      <c r="K122" s="139" t="s">
        <v>151</v>
      </c>
      <c r="L122" s="32"/>
      <c r="M122" s="143" t="s">
        <v>3</v>
      </c>
      <c r="N122" s="144" t="s">
        <v>46</v>
      </c>
      <c r="O122" s="145">
        <v>0</v>
      </c>
      <c r="P122" s="145">
        <f>O122*H122</f>
        <v>0</v>
      </c>
      <c r="Q122" s="145">
        <v>0</v>
      </c>
      <c r="R122" s="145">
        <f>Q122*H122</f>
        <v>0</v>
      </c>
      <c r="S122" s="145">
        <v>0</v>
      </c>
      <c r="T122" s="146">
        <f>S122*H122</f>
        <v>0</v>
      </c>
      <c r="U122" s="31"/>
      <c r="V122" s="31"/>
      <c r="W122" s="31"/>
      <c r="X122" s="31"/>
      <c r="Y122" s="31"/>
      <c r="Z122" s="31"/>
      <c r="AA122" s="31"/>
      <c r="AB122" s="31"/>
      <c r="AC122" s="31"/>
      <c r="AD122" s="31"/>
      <c r="AE122" s="31"/>
      <c r="AR122" s="147" t="s">
        <v>218</v>
      </c>
      <c r="AT122" s="147" t="s">
        <v>147</v>
      </c>
      <c r="AU122" s="147" t="s">
        <v>85</v>
      </c>
      <c r="AY122" s="19" t="s">
        <v>144</v>
      </c>
      <c r="BE122" s="148">
        <f>IF(N122="základní",J122,0)</f>
        <v>0</v>
      </c>
      <c r="BF122" s="148">
        <f>IF(N122="snížená",J122,0)</f>
        <v>0</v>
      </c>
      <c r="BG122" s="148">
        <f>IF(N122="zákl. přenesená",J122,0)</f>
        <v>0</v>
      </c>
      <c r="BH122" s="148">
        <f>IF(N122="sníž. přenesená",J122,0)</f>
        <v>0</v>
      </c>
      <c r="BI122" s="148">
        <f>IF(N122="nulová",J122,0)</f>
        <v>0</v>
      </c>
      <c r="BJ122" s="19" t="s">
        <v>83</v>
      </c>
      <c r="BK122" s="148">
        <f>ROUND(I122*H122,2)</f>
        <v>0</v>
      </c>
      <c r="BL122" s="19" t="s">
        <v>218</v>
      </c>
      <c r="BM122" s="147" t="s">
        <v>1565</v>
      </c>
    </row>
    <row r="123" spans="1:47" s="2" customFormat="1" ht="68.25">
      <c r="A123" s="31"/>
      <c r="B123" s="32"/>
      <c r="C123" s="31"/>
      <c r="D123" s="150" t="s">
        <v>270</v>
      </c>
      <c r="E123" s="31"/>
      <c r="F123" s="163" t="s">
        <v>1561</v>
      </c>
      <c r="G123" s="31"/>
      <c r="H123" s="31"/>
      <c r="I123" s="279"/>
      <c r="J123" s="31"/>
      <c r="K123" s="31"/>
      <c r="L123" s="32"/>
      <c r="M123" s="164"/>
      <c r="N123" s="165"/>
      <c r="O123" s="52"/>
      <c r="P123" s="52"/>
      <c r="Q123" s="52"/>
      <c r="R123" s="52"/>
      <c r="S123" s="52"/>
      <c r="T123" s="53"/>
      <c r="U123" s="31"/>
      <c r="V123" s="31"/>
      <c r="W123" s="31"/>
      <c r="X123" s="31"/>
      <c r="Y123" s="31"/>
      <c r="Z123" s="31"/>
      <c r="AA123" s="31"/>
      <c r="AB123" s="31"/>
      <c r="AC123" s="31"/>
      <c r="AD123" s="31"/>
      <c r="AE123" s="31"/>
      <c r="AT123" s="19" t="s">
        <v>270</v>
      </c>
      <c r="AU123" s="19" t="s">
        <v>85</v>
      </c>
    </row>
    <row r="124" spans="1:65" s="2" customFormat="1" ht="49.15" customHeight="1">
      <c r="A124" s="31"/>
      <c r="B124" s="136"/>
      <c r="C124" s="137">
        <v>20</v>
      </c>
      <c r="D124" s="137" t="s">
        <v>147</v>
      </c>
      <c r="E124" s="138" t="s">
        <v>1566</v>
      </c>
      <c r="F124" s="139" t="s">
        <v>1807</v>
      </c>
      <c r="G124" s="140" t="s">
        <v>960</v>
      </c>
      <c r="H124" s="141">
        <v>2</v>
      </c>
      <c r="I124" s="278"/>
      <c r="J124" s="142">
        <f>ROUND(I124*H124,2)</f>
        <v>0</v>
      </c>
      <c r="K124" s="139" t="s">
        <v>151</v>
      </c>
      <c r="L124" s="32"/>
      <c r="M124" s="143" t="s">
        <v>3</v>
      </c>
      <c r="N124" s="144" t="s">
        <v>46</v>
      </c>
      <c r="O124" s="145">
        <v>0</v>
      </c>
      <c r="P124" s="145">
        <f>O124*H124</f>
        <v>0</v>
      </c>
      <c r="Q124" s="145">
        <v>0</v>
      </c>
      <c r="R124" s="145">
        <f>Q124*H124</f>
        <v>0</v>
      </c>
      <c r="S124" s="145">
        <v>0</v>
      </c>
      <c r="T124" s="146">
        <f>S124*H124</f>
        <v>0</v>
      </c>
      <c r="U124" s="31"/>
      <c r="V124" s="274"/>
      <c r="W124" s="275"/>
      <c r="X124" s="31"/>
      <c r="Y124" s="31"/>
      <c r="Z124" s="31"/>
      <c r="AA124" s="31"/>
      <c r="AB124" s="31"/>
      <c r="AC124" s="31"/>
      <c r="AD124" s="31"/>
      <c r="AE124" s="31"/>
      <c r="AR124" s="147" t="s">
        <v>218</v>
      </c>
      <c r="AT124" s="147" t="s">
        <v>147</v>
      </c>
      <c r="AU124" s="147" t="s">
        <v>85</v>
      </c>
      <c r="AY124" s="19" t="s">
        <v>144</v>
      </c>
      <c r="BE124" s="148">
        <f>IF(N124="základní",J124,0)</f>
        <v>0</v>
      </c>
      <c r="BF124" s="148">
        <f>IF(N124="snížená",J124,0)</f>
        <v>0</v>
      </c>
      <c r="BG124" s="148">
        <f>IF(N124="zákl. přenesená",J124,0)</f>
        <v>0</v>
      </c>
      <c r="BH124" s="148">
        <f>IF(N124="sníž. přenesená",J124,0)</f>
        <v>0</v>
      </c>
      <c r="BI124" s="148">
        <f>IF(N124="nulová",J124,0)</f>
        <v>0</v>
      </c>
      <c r="BJ124" s="19" t="s">
        <v>83</v>
      </c>
      <c r="BK124" s="148">
        <f>ROUND(I124*H124,2)</f>
        <v>0</v>
      </c>
      <c r="BL124" s="19" t="s">
        <v>218</v>
      </c>
      <c r="BM124" s="147" t="s">
        <v>1567</v>
      </c>
    </row>
    <row r="125" spans="1:47" s="2" customFormat="1" ht="68.25">
      <c r="A125" s="31"/>
      <c r="B125" s="32"/>
      <c r="C125" s="31"/>
      <c r="D125" s="150" t="s">
        <v>270</v>
      </c>
      <c r="E125" s="31"/>
      <c r="F125" s="163" t="s">
        <v>1561</v>
      </c>
      <c r="G125" s="31"/>
      <c r="H125" s="31"/>
      <c r="I125" s="279"/>
      <c r="J125" s="31"/>
      <c r="K125" s="31"/>
      <c r="L125" s="32"/>
      <c r="M125" s="164"/>
      <c r="N125" s="165"/>
      <c r="O125" s="52"/>
      <c r="P125" s="52"/>
      <c r="Q125" s="52"/>
      <c r="R125" s="52"/>
      <c r="S125" s="52"/>
      <c r="T125" s="53"/>
      <c r="U125" s="31"/>
      <c r="V125" s="31"/>
      <c r="W125" s="31"/>
      <c r="X125" s="31"/>
      <c r="Y125" s="31"/>
      <c r="Z125" s="31"/>
      <c r="AA125" s="31"/>
      <c r="AB125" s="31"/>
      <c r="AC125" s="31"/>
      <c r="AD125" s="31"/>
      <c r="AE125" s="31"/>
      <c r="AT125" s="19" t="s">
        <v>270</v>
      </c>
      <c r="AU125" s="19" t="s">
        <v>85</v>
      </c>
    </row>
    <row r="126" spans="1:65" s="2" customFormat="1" ht="49.15" customHeight="1">
      <c r="A126" s="31"/>
      <c r="B126" s="136"/>
      <c r="C126" s="137">
        <v>21</v>
      </c>
      <c r="D126" s="137" t="s">
        <v>147</v>
      </c>
      <c r="E126" s="138" t="s">
        <v>1568</v>
      </c>
      <c r="F126" s="139" t="s">
        <v>1808</v>
      </c>
      <c r="G126" s="140" t="s">
        <v>960</v>
      </c>
      <c r="H126" s="141">
        <v>1</v>
      </c>
      <c r="I126" s="278"/>
      <c r="J126" s="142">
        <f>ROUND(I126*H126,2)</f>
        <v>0</v>
      </c>
      <c r="K126" s="139" t="s">
        <v>151</v>
      </c>
      <c r="L126" s="32"/>
      <c r="M126" s="143" t="s">
        <v>3</v>
      </c>
      <c r="N126" s="144" t="s">
        <v>46</v>
      </c>
      <c r="O126" s="145">
        <v>0</v>
      </c>
      <c r="P126" s="145">
        <f>O126*H126</f>
        <v>0</v>
      </c>
      <c r="Q126" s="145">
        <v>0</v>
      </c>
      <c r="R126" s="145">
        <f>Q126*H126</f>
        <v>0</v>
      </c>
      <c r="S126" s="145">
        <v>0</v>
      </c>
      <c r="T126" s="146">
        <f>S126*H126</f>
        <v>0</v>
      </c>
      <c r="U126" s="31"/>
      <c r="V126" s="274"/>
      <c r="W126" s="275"/>
      <c r="X126" s="31"/>
      <c r="Y126" s="31"/>
      <c r="Z126" s="31"/>
      <c r="AA126" s="31"/>
      <c r="AB126" s="31"/>
      <c r="AC126" s="31"/>
      <c r="AD126" s="31"/>
      <c r="AE126" s="31"/>
      <c r="AR126" s="147" t="s">
        <v>218</v>
      </c>
      <c r="AT126" s="147" t="s">
        <v>147</v>
      </c>
      <c r="AU126" s="147" t="s">
        <v>85</v>
      </c>
      <c r="AY126" s="19" t="s">
        <v>144</v>
      </c>
      <c r="BE126" s="148">
        <f>IF(N126="základní",J126,0)</f>
        <v>0</v>
      </c>
      <c r="BF126" s="148">
        <f>IF(N126="snížená",J126,0)</f>
        <v>0</v>
      </c>
      <c r="BG126" s="148">
        <f>IF(N126="zákl. přenesená",J126,0)</f>
        <v>0</v>
      </c>
      <c r="BH126" s="148">
        <f>IF(N126="sníž. přenesená",J126,0)</f>
        <v>0</v>
      </c>
      <c r="BI126" s="148">
        <f>IF(N126="nulová",J126,0)</f>
        <v>0</v>
      </c>
      <c r="BJ126" s="19" t="s">
        <v>83</v>
      </c>
      <c r="BK126" s="148">
        <f>ROUND(I126*H126,2)</f>
        <v>0</v>
      </c>
      <c r="BL126" s="19" t="s">
        <v>218</v>
      </c>
      <c r="BM126" s="147" t="s">
        <v>1569</v>
      </c>
    </row>
    <row r="127" spans="1:47" s="2" customFormat="1" ht="68.25">
      <c r="A127" s="31"/>
      <c r="B127" s="32"/>
      <c r="C127" s="31"/>
      <c r="D127" s="150" t="s">
        <v>270</v>
      </c>
      <c r="E127" s="31"/>
      <c r="F127" s="163" t="s">
        <v>1561</v>
      </c>
      <c r="G127" s="31"/>
      <c r="H127" s="31"/>
      <c r="I127" s="279"/>
      <c r="J127" s="31"/>
      <c r="K127" s="31"/>
      <c r="L127" s="32"/>
      <c r="M127" s="164"/>
      <c r="N127" s="165"/>
      <c r="O127" s="52"/>
      <c r="P127" s="52"/>
      <c r="Q127" s="52"/>
      <c r="R127" s="52"/>
      <c r="S127" s="52"/>
      <c r="T127" s="53"/>
      <c r="U127" s="31"/>
      <c r="V127" s="31"/>
      <c r="W127" s="31"/>
      <c r="X127" s="31"/>
      <c r="Y127" s="31"/>
      <c r="Z127" s="31"/>
      <c r="AA127" s="31"/>
      <c r="AB127" s="31"/>
      <c r="AC127" s="31"/>
      <c r="AD127" s="31"/>
      <c r="AE127" s="31"/>
      <c r="AT127" s="19" t="s">
        <v>270</v>
      </c>
      <c r="AU127" s="19" t="s">
        <v>85</v>
      </c>
    </row>
    <row r="128" spans="1:65" s="2" customFormat="1" ht="49.15" customHeight="1">
      <c r="A128" s="31"/>
      <c r="B128" s="136"/>
      <c r="C128" s="137">
        <v>22</v>
      </c>
      <c r="D128" s="137" t="s">
        <v>147</v>
      </c>
      <c r="E128" s="138" t="s">
        <v>1570</v>
      </c>
      <c r="F128" s="139" t="s">
        <v>1809</v>
      </c>
      <c r="G128" s="140" t="s">
        <v>960</v>
      </c>
      <c r="H128" s="141">
        <v>2</v>
      </c>
      <c r="I128" s="278"/>
      <c r="J128" s="142">
        <f>ROUND(I128*H128,2)</f>
        <v>0</v>
      </c>
      <c r="K128" s="139" t="s">
        <v>151</v>
      </c>
      <c r="L128" s="32"/>
      <c r="M128" s="143" t="s">
        <v>3</v>
      </c>
      <c r="N128" s="144" t="s">
        <v>46</v>
      </c>
      <c r="O128" s="145">
        <v>0</v>
      </c>
      <c r="P128" s="145">
        <f>O128*H128</f>
        <v>0</v>
      </c>
      <c r="Q128" s="145">
        <v>0</v>
      </c>
      <c r="R128" s="145">
        <f>Q128*H128</f>
        <v>0</v>
      </c>
      <c r="S128" s="145">
        <v>0</v>
      </c>
      <c r="T128" s="146">
        <f>S128*H128</f>
        <v>0</v>
      </c>
      <c r="U128" s="31"/>
      <c r="V128" s="31"/>
      <c r="W128" s="31"/>
      <c r="X128" s="31"/>
      <c r="Y128" s="31"/>
      <c r="Z128" s="31"/>
      <c r="AA128" s="31"/>
      <c r="AB128" s="31"/>
      <c r="AC128" s="31"/>
      <c r="AD128" s="31"/>
      <c r="AE128" s="31"/>
      <c r="AR128" s="147" t="s">
        <v>218</v>
      </c>
      <c r="AT128" s="147" t="s">
        <v>147</v>
      </c>
      <c r="AU128" s="147" t="s">
        <v>85</v>
      </c>
      <c r="AY128" s="19" t="s">
        <v>144</v>
      </c>
      <c r="BE128" s="148">
        <f>IF(N128="základní",J128,0)</f>
        <v>0</v>
      </c>
      <c r="BF128" s="148">
        <f>IF(N128="snížená",J128,0)</f>
        <v>0</v>
      </c>
      <c r="BG128" s="148">
        <f>IF(N128="zákl. přenesená",J128,0)</f>
        <v>0</v>
      </c>
      <c r="BH128" s="148">
        <f>IF(N128="sníž. přenesená",J128,0)</f>
        <v>0</v>
      </c>
      <c r="BI128" s="148">
        <f>IF(N128="nulová",J128,0)</f>
        <v>0</v>
      </c>
      <c r="BJ128" s="19" t="s">
        <v>83</v>
      </c>
      <c r="BK128" s="148">
        <f>ROUND(I128*H128,2)</f>
        <v>0</v>
      </c>
      <c r="BL128" s="19" t="s">
        <v>218</v>
      </c>
      <c r="BM128" s="147" t="s">
        <v>1571</v>
      </c>
    </row>
    <row r="129" spans="1:47" s="2" customFormat="1" ht="68.25">
      <c r="A129" s="31"/>
      <c r="B129" s="32"/>
      <c r="C129" s="31"/>
      <c r="D129" s="150" t="s">
        <v>270</v>
      </c>
      <c r="E129" s="31"/>
      <c r="F129" s="163" t="s">
        <v>1561</v>
      </c>
      <c r="G129" s="31"/>
      <c r="H129" s="31"/>
      <c r="I129" s="279"/>
      <c r="J129" s="31"/>
      <c r="K129" s="31"/>
      <c r="L129" s="32"/>
      <c r="M129" s="164"/>
      <c r="N129" s="165"/>
      <c r="O129" s="52"/>
      <c r="P129" s="52"/>
      <c r="Q129" s="52"/>
      <c r="R129" s="52"/>
      <c r="S129" s="52"/>
      <c r="T129" s="53"/>
      <c r="U129" s="31"/>
      <c r="V129" s="31"/>
      <c r="W129" s="31"/>
      <c r="X129" s="31"/>
      <c r="Y129" s="31"/>
      <c r="Z129" s="31"/>
      <c r="AA129" s="31"/>
      <c r="AB129" s="31"/>
      <c r="AC129" s="31"/>
      <c r="AD129" s="31"/>
      <c r="AE129" s="31"/>
      <c r="AT129" s="19" t="s">
        <v>270</v>
      </c>
      <c r="AU129" s="19" t="s">
        <v>85</v>
      </c>
    </row>
    <row r="130" spans="1:65" s="2" customFormat="1" ht="49.15" customHeight="1">
      <c r="A130" s="31"/>
      <c r="B130" s="136"/>
      <c r="C130" s="137">
        <v>23</v>
      </c>
      <c r="D130" s="137" t="s">
        <v>147</v>
      </c>
      <c r="E130" s="138" t="s">
        <v>1572</v>
      </c>
      <c r="F130" s="139" t="s">
        <v>1810</v>
      </c>
      <c r="G130" s="140" t="s">
        <v>960</v>
      </c>
      <c r="H130" s="141">
        <v>4</v>
      </c>
      <c r="I130" s="278"/>
      <c r="J130" s="142">
        <f>ROUND(I130*H130,2)</f>
        <v>0</v>
      </c>
      <c r="K130" s="139" t="s">
        <v>151</v>
      </c>
      <c r="L130" s="32"/>
      <c r="M130" s="143" t="s">
        <v>3</v>
      </c>
      <c r="N130" s="144" t="s">
        <v>46</v>
      </c>
      <c r="O130" s="145">
        <v>0</v>
      </c>
      <c r="P130" s="145">
        <f>O130*H130</f>
        <v>0</v>
      </c>
      <c r="Q130" s="145">
        <v>0</v>
      </c>
      <c r="R130" s="145">
        <f>Q130*H130</f>
        <v>0</v>
      </c>
      <c r="S130" s="145">
        <v>0</v>
      </c>
      <c r="T130" s="146">
        <f>S130*H130</f>
        <v>0</v>
      </c>
      <c r="U130" s="31"/>
      <c r="V130" s="31"/>
      <c r="W130" s="31"/>
      <c r="X130" s="31"/>
      <c r="Y130" s="31"/>
      <c r="Z130" s="31"/>
      <c r="AA130" s="31"/>
      <c r="AB130" s="31"/>
      <c r="AC130" s="31"/>
      <c r="AD130" s="31"/>
      <c r="AE130" s="31"/>
      <c r="AR130" s="147" t="s">
        <v>218</v>
      </c>
      <c r="AT130" s="147" t="s">
        <v>147</v>
      </c>
      <c r="AU130" s="147" t="s">
        <v>85</v>
      </c>
      <c r="AY130" s="19" t="s">
        <v>144</v>
      </c>
      <c r="BE130" s="148">
        <f>IF(N130="základní",J130,0)</f>
        <v>0</v>
      </c>
      <c r="BF130" s="148">
        <f>IF(N130="snížená",J130,0)</f>
        <v>0</v>
      </c>
      <c r="BG130" s="148">
        <f>IF(N130="zákl. přenesená",J130,0)</f>
        <v>0</v>
      </c>
      <c r="BH130" s="148">
        <f>IF(N130="sníž. přenesená",J130,0)</f>
        <v>0</v>
      </c>
      <c r="BI130" s="148">
        <f>IF(N130="nulová",J130,0)</f>
        <v>0</v>
      </c>
      <c r="BJ130" s="19" t="s">
        <v>83</v>
      </c>
      <c r="BK130" s="148">
        <f>ROUND(I130*H130,2)</f>
        <v>0</v>
      </c>
      <c r="BL130" s="19" t="s">
        <v>218</v>
      </c>
      <c r="BM130" s="147" t="s">
        <v>1573</v>
      </c>
    </row>
    <row r="131" spans="1:47" s="2" customFormat="1" ht="68.25">
      <c r="A131" s="31"/>
      <c r="B131" s="32"/>
      <c r="C131" s="31"/>
      <c r="D131" s="150" t="s">
        <v>270</v>
      </c>
      <c r="E131" s="31"/>
      <c r="F131" s="163" t="s">
        <v>1561</v>
      </c>
      <c r="G131" s="31"/>
      <c r="H131" s="31"/>
      <c r="I131" s="279"/>
      <c r="J131" s="31"/>
      <c r="K131" s="31"/>
      <c r="L131" s="32"/>
      <c r="M131" s="164"/>
      <c r="N131" s="165"/>
      <c r="O131" s="52"/>
      <c r="P131" s="52"/>
      <c r="Q131" s="52"/>
      <c r="R131" s="52"/>
      <c r="S131" s="52"/>
      <c r="T131" s="53"/>
      <c r="U131" s="31"/>
      <c r="V131" s="31"/>
      <c r="W131" s="31"/>
      <c r="X131" s="31"/>
      <c r="Y131" s="31"/>
      <c r="Z131" s="31"/>
      <c r="AA131" s="31"/>
      <c r="AB131" s="31"/>
      <c r="AC131" s="31"/>
      <c r="AD131" s="31"/>
      <c r="AE131" s="31"/>
      <c r="AT131" s="19" t="s">
        <v>270</v>
      </c>
      <c r="AU131" s="19" t="s">
        <v>85</v>
      </c>
    </row>
    <row r="132" spans="1:65" s="2" customFormat="1" ht="49.15" customHeight="1">
      <c r="A132" s="31"/>
      <c r="B132" s="136"/>
      <c r="C132" s="137">
        <v>24</v>
      </c>
      <c r="D132" s="137" t="s">
        <v>147</v>
      </c>
      <c r="E132" s="138" t="s">
        <v>1574</v>
      </c>
      <c r="F132" s="139" t="s">
        <v>1811</v>
      </c>
      <c r="G132" s="140" t="s">
        <v>960</v>
      </c>
      <c r="H132" s="141">
        <v>1</v>
      </c>
      <c r="I132" s="278"/>
      <c r="J132" s="142">
        <f>ROUND(I132*H132,2)</f>
        <v>0</v>
      </c>
      <c r="K132" s="139" t="s">
        <v>151</v>
      </c>
      <c r="L132" s="32"/>
      <c r="M132" s="143" t="s">
        <v>3</v>
      </c>
      <c r="N132" s="144" t="s">
        <v>46</v>
      </c>
      <c r="O132" s="145">
        <v>0</v>
      </c>
      <c r="P132" s="145">
        <f>O132*H132</f>
        <v>0</v>
      </c>
      <c r="Q132" s="145">
        <v>0</v>
      </c>
      <c r="R132" s="145">
        <f>Q132*H132</f>
        <v>0</v>
      </c>
      <c r="S132" s="145">
        <v>0</v>
      </c>
      <c r="T132" s="146">
        <f>S132*H132</f>
        <v>0</v>
      </c>
      <c r="U132" s="31"/>
      <c r="V132" s="274"/>
      <c r="W132" s="275"/>
      <c r="X132" s="31"/>
      <c r="Y132" s="31"/>
      <c r="Z132" s="31"/>
      <c r="AA132" s="31"/>
      <c r="AB132" s="31"/>
      <c r="AC132" s="31"/>
      <c r="AD132" s="31"/>
      <c r="AE132" s="31"/>
      <c r="AR132" s="147" t="s">
        <v>218</v>
      </c>
      <c r="AT132" s="147" t="s">
        <v>147</v>
      </c>
      <c r="AU132" s="147" t="s">
        <v>85</v>
      </c>
      <c r="AY132" s="19" t="s">
        <v>144</v>
      </c>
      <c r="BE132" s="148">
        <f>IF(N132="základní",J132,0)</f>
        <v>0</v>
      </c>
      <c r="BF132" s="148">
        <f>IF(N132="snížená",J132,0)</f>
        <v>0</v>
      </c>
      <c r="BG132" s="148">
        <f>IF(N132="zákl. přenesená",J132,0)</f>
        <v>0</v>
      </c>
      <c r="BH132" s="148">
        <f>IF(N132="sníž. přenesená",J132,0)</f>
        <v>0</v>
      </c>
      <c r="BI132" s="148">
        <f>IF(N132="nulová",J132,0)</f>
        <v>0</v>
      </c>
      <c r="BJ132" s="19" t="s">
        <v>83</v>
      </c>
      <c r="BK132" s="148">
        <f>ROUND(I132*H132,2)</f>
        <v>0</v>
      </c>
      <c r="BL132" s="19" t="s">
        <v>218</v>
      </c>
      <c r="BM132" s="147" t="s">
        <v>1575</v>
      </c>
    </row>
    <row r="133" spans="1:47" s="2" customFormat="1" ht="68.25">
      <c r="A133" s="31"/>
      <c r="B133" s="32"/>
      <c r="C133" s="31"/>
      <c r="D133" s="150" t="s">
        <v>270</v>
      </c>
      <c r="E133" s="31"/>
      <c r="F133" s="163" t="s">
        <v>1561</v>
      </c>
      <c r="G133" s="31"/>
      <c r="H133" s="31"/>
      <c r="I133" s="279"/>
      <c r="J133" s="31"/>
      <c r="K133" s="31"/>
      <c r="L133" s="32"/>
      <c r="M133" s="164"/>
      <c r="N133" s="165"/>
      <c r="O133" s="52"/>
      <c r="P133" s="52"/>
      <c r="Q133" s="52"/>
      <c r="R133" s="52"/>
      <c r="S133" s="52"/>
      <c r="T133" s="53"/>
      <c r="U133" s="31"/>
      <c r="V133" s="31"/>
      <c r="W133" s="31"/>
      <c r="X133" s="31"/>
      <c r="Y133" s="31"/>
      <c r="Z133" s="31"/>
      <c r="AA133" s="31"/>
      <c r="AB133" s="31"/>
      <c r="AC133" s="31"/>
      <c r="AD133" s="31"/>
      <c r="AE133" s="31"/>
      <c r="AT133" s="19" t="s">
        <v>270</v>
      </c>
      <c r="AU133" s="19" t="s">
        <v>85</v>
      </c>
    </row>
    <row r="134" spans="1:65" s="2" customFormat="1" ht="62.65" customHeight="1">
      <c r="A134" s="31"/>
      <c r="B134" s="136"/>
      <c r="C134" s="137">
        <v>25</v>
      </c>
      <c r="D134" s="137" t="s">
        <v>147</v>
      </c>
      <c r="E134" s="138" t="s">
        <v>1576</v>
      </c>
      <c r="F134" s="139" t="s">
        <v>1812</v>
      </c>
      <c r="G134" s="140" t="s">
        <v>960</v>
      </c>
      <c r="H134" s="141">
        <v>1</v>
      </c>
      <c r="I134" s="278"/>
      <c r="J134" s="142">
        <f>ROUND(I134*H134,2)</f>
        <v>0</v>
      </c>
      <c r="K134" s="139" t="s">
        <v>151</v>
      </c>
      <c r="L134" s="32"/>
      <c r="M134" s="143" t="s">
        <v>3</v>
      </c>
      <c r="N134" s="144" t="s">
        <v>46</v>
      </c>
      <c r="O134" s="145">
        <v>0</v>
      </c>
      <c r="P134" s="145">
        <f>O134*H134</f>
        <v>0</v>
      </c>
      <c r="Q134" s="145">
        <v>0</v>
      </c>
      <c r="R134" s="145">
        <f>Q134*H134</f>
        <v>0</v>
      </c>
      <c r="S134" s="145">
        <v>0</v>
      </c>
      <c r="T134" s="146">
        <f>S134*H134</f>
        <v>0</v>
      </c>
      <c r="U134" s="31"/>
      <c r="V134" s="31"/>
      <c r="W134" s="31"/>
      <c r="X134" s="31"/>
      <c r="Y134" s="31"/>
      <c r="Z134" s="31"/>
      <c r="AA134" s="31"/>
      <c r="AB134" s="31"/>
      <c r="AC134" s="31"/>
      <c r="AD134" s="31"/>
      <c r="AE134" s="31"/>
      <c r="AR134" s="147" t="s">
        <v>218</v>
      </c>
      <c r="AT134" s="147" t="s">
        <v>147</v>
      </c>
      <c r="AU134" s="147" t="s">
        <v>85</v>
      </c>
      <c r="AY134" s="19" t="s">
        <v>144</v>
      </c>
      <c r="BE134" s="148">
        <f>IF(N134="základní",J134,0)</f>
        <v>0</v>
      </c>
      <c r="BF134" s="148">
        <f>IF(N134="snížená",J134,0)</f>
        <v>0</v>
      </c>
      <c r="BG134" s="148">
        <f>IF(N134="zákl. přenesená",J134,0)</f>
        <v>0</v>
      </c>
      <c r="BH134" s="148">
        <f>IF(N134="sníž. přenesená",J134,0)</f>
        <v>0</v>
      </c>
      <c r="BI134" s="148">
        <f>IF(N134="nulová",J134,0)</f>
        <v>0</v>
      </c>
      <c r="BJ134" s="19" t="s">
        <v>83</v>
      </c>
      <c r="BK134" s="148">
        <f>ROUND(I134*H134,2)</f>
        <v>0</v>
      </c>
      <c r="BL134" s="19" t="s">
        <v>218</v>
      </c>
      <c r="BM134" s="147" t="s">
        <v>1577</v>
      </c>
    </row>
    <row r="135" spans="1:47" s="2" customFormat="1" ht="68.25">
      <c r="A135" s="31"/>
      <c r="B135" s="32"/>
      <c r="C135" s="31"/>
      <c r="D135" s="150" t="s">
        <v>270</v>
      </c>
      <c r="E135" s="31"/>
      <c r="F135" s="163" t="s">
        <v>1561</v>
      </c>
      <c r="G135" s="31"/>
      <c r="H135" s="31"/>
      <c r="I135" s="31"/>
      <c r="J135" s="31"/>
      <c r="K135" s="31"/>
      <c r="L135" s="32"/>
      <c r="M135" s="164"/>
      <c r="N135" s="165"/>
      <c r="O135" s="52"/>
      <c r="P135" s="52"/>
      <c r="Q135" s="52"/>
      <c r="R135" s="52"/>
      <c r="S135" s="52"/>
      <c r="T135" s="53"/>
      <c r="U135" s="31"/>
      <c r="V135" s="31"/>
      <c r="W135" s="31"/>
      <c r="X135" s="31"/>
      <c r="Y135" s="31"/>
      <c r="Z135" s="31"/>
      <c r="AA135" s="31"/>
      <c r="AB135" s="31"/>
      <c r="AC135" s="31"/>
      <c r="AD135" s="31"/>
      <c r="AE135" s="31"/>
      <c r="AT135" s="19" t="s">
        <v>270</v>
      </c>
      <c r="AU135" s="19" t="s">
        <v>85</v>
      </c>
    </row>
    <row r="136" spans="1:65" s="2" customFormat="1" ht="37.9" customHeight="1">
      <c r="A136" s="31"/>
      <c r="B136" s="136"/>
      <c r="C136" s="137">
        <v>26</v>
      </c>
      <c r="D136" s="137" t="s">
        <v>147</v>
      </c>
      <c r="E136" s="138" t="s">
        <v>569</v>
      </c>
      <c r="F136" s="139" t="s">
        <v>570</v>
      </c>
      <c r="G136" s="140" t="s">
        <v>387</v>
      </c>
      <c r="H136" s="141">
        <v>1799.97</v>
      </c>
      <c r="I136" s="142"/>
      <c r="J136" s="142">
        <f>ROUND(I136*H136,2)</f>
        <v>0</v>
      </c>
      <c r="K136" s="139" t="s">
        <v>157</v>
      </c>
      <c r="L136" s="32"/>
      <c r="M136" s="143" t="s">
        <v>3</v>
      </c>
      <c r="N136" s="144" t="s">
        <v>46</v>
      </c>
      <c r="O136" s="145">
        <v>0</v>
      </c>
      <c r="P136" s="145">
        <f>O136*H136</f>
        <v>0</v>
      </c>
      <c r="Q136" s="145">
        <v>0</v>
      </c>
      <c r="R136" s="145">
        <f>Q136*H136</f>
        <v>0</v>
      </c>
      <c r="S136" s="145">
        <v>0</v>
      </c>
      <c r="T136" s="146">
        <f>S136*H136</f>
        <v>0</v>
      </c>
      <c r="U136" s="31"/>
      <c r="V136" s="31"/>
      <c r="W136" s="31"/>
      <c r="X136" s="31"/>
      <c r="Y136" s="31"/>
      <c r="Z136" s="31"/>
      <c r="AA136" s="31"/>
      <c r="AB136" s="31"/>
      <c r="AC136" s="31"/>
      <c r="AD136" s="31"/>
      <c r="AE136" s="31"/>
      <c r="AR136" s="147" t="s">
        <v>218</v>
      </c>
      <c r="AT136" s="147" t="s">
        <v>147</v>
      </c>
      <c r="AU136" s="147" t="s">
        <v>85</v>
      </c>
      <c r="AY136" s="19" t="s">
        <v>144</v>
      </c>
      <c r="BE136" s="148">
        <f>IF(N136="základní",J136,0)</f>
        <v>0</v>
      </c>
      <c r="BF136" s="148">
        <f>IF(N136="snížená",J136,0)</f>
        <v>0</v>
      </c>
      <c r="BG136" s="148">
        <f>IF(N136="zákl. přenesená",J136,0)</f>
        <v>0</v>
      </c>
      <c r="BH136" s="148">
        <f>IF(N136="sníž. přenesená",J136,0)</f>
        <v>0</v>
      </c>
      <c r="BI136" s="148">
        <f>IF(N136="nulová",J136,0)</f>
        <v>0</v>
      </c>
      <c r="BJ136" s="19" t="s">
        <v>83</v>
      </c>
      <c r="BK136" s="148">
        <f>ROUND(I136*H136,2)</f>
        <v>0</v>
      </c>
      <c r="BL136" s="19" t="s">
        <v>218</v>
      </c>
      <c r="BM136" s="147" t="s">
        <v>1578</v>
      </c>
    </row>
    <row r="137" spans="1:47" s="2" customFormat="1" ht="126.75">
      <c r="A137" s="31"/>
      <c r="B137" s="32"/>
      <c r="C137" s="31"/>
      <c r="D137" s="150" t="s">
        <v>158</v>
      </c>
      <c r="E137" s="31"/>
      <c r="F137" s="163" t="s">
        <v>572</v>
      </c>
      <c r="G137" s="31"/>
      <c r="H137" s="31"/>
      <c r="I137" s="31"/>
      <c r="J137" s="31"/>
      <c r="K137" s="31"/>
      <c r="L137" s="32"/>
      <c r="M137" s="189"/>
      <c r="N137" s="190"/>
      <c r="O137" s="191"/>
      <c r="P137" s="191"/>
      <c r="Q137" s="191"/>
      <c r="R137" s="191"/>
      <c r="S137" s="191"/>
      <c r="T137" s="192"/>
      <c r="U137" s="31"/>
      <c r="V137" s="31"/>
      <c r="W137" s="31"/>
      <c r="X137" s="31"/>
      <c r="Y137" s="31"/>
      <c r="Z137" s="31"/>
      <c r="AA137" s="31"/>
      <c r="AB137" s="31"/>
      <c r="AC137" s="31"/>
      <c r="AD137" s="31"/>
      <c r="AE137" s="31"/>
      <c r="AT137" s="19" t="s">
        <v>158</v>
      </c>
      <c r="AU137" s="19" t="s">
        <v>85</v>
      </c>
    </row>
    <row r="138" spans="1:31" s="2" customFormat="1" ht="6.95" customHeight="1">
      <c r="A138" s="31"/>
      <c r="B138" s="41"/>
      <c r="C138" s="42"/>
      <c r="D138" s="42"/>
      <c r="E138" s="42"/>
      <c r="F138" s="42"/>
      <c r="G138" s="42"/>
      <c r="H138" s="42"/>
      <c r="I138" s="42"/>
      <c r="J138" s="42"/>
      <c r="K138" s="42"/>
      <c r="L138" s="32"/>
      <c r="M138" s="31"/>
      <c r="O138" s="31"/>
      <c r="P138" s="31"/>
      <c r="Q138" s="31"/>
      <c r="R138" s="31"/>
      <c r="S138" s="31"/>
      <c r="T138" s="31"/>
      <c r="U138" s="31"/>
      <c r="V138" s="31"/>
      <c r="W138" s="31"/>
      <c r="X138" s="31"/>
      <c r="Y138" s="31"/>
      <c r="Z138" s="31"/>
      <c r="AA138" s="31"/>
      <c r="AB138" s="31"/>
      <c r="AC138" s="31"/>
      <c r="AD138" s="31"/>
      <c r="AE138" s="31"/>
    </row>
  </sheetData>
  <autoFilter ref="C81:K137"/>
  <mergeCells count="9">
    <mergeCell ref="E50:H50"/>
    <mergeCell ref="E72:H72"/>
    <mergeCell ref="E74:H7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 manualBreakCount="1">
    <brk id="96" min="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90"/>
  <sheetViews>
    <sheetView showGridLines="0" view="pageBreakPreview" zoomScale="60" workbookViewId="0" topLeftCell="A48">
      <selection activeCell="AC79" sqref="AC7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01" t="s">
        <v>6</v>
      </c>
      <c r="M2" s="302"/>
      <c r="N2" s="302"/>
      <c r="O2" s="302"/>
      <c r="P2" s="302"/>
      <c r="Q2" s="302"/>
      <c r="R2" s="302"/>
      <c r="S2" s="302"/>
      <c r="T2" s="302"/>
      <c r="U2" s="302"/>
      <c r="V2" s="302"/>
      <c r="AT2" s="19" t="s">
        <v>103</v>
      </c>
    </row>
    <row r="3" spans="2:46" s="1" customFormat="1" ht="6.95" customHeight="1">
      <c r="B3" s="20"/>
      <c r="C3" s="21"/>
      <c r="D3" s="21"/>
      <c r="E3" s="21"/>
      <c r="F3" s="21"/>
      <c r="G3" s="21"/>
      <c r="H3" s="21"/>
      <c r="I3" s="21"/>
      <c r="J3" s="21"/>
      <c r="K3" s="21"/>
      <c r="L3" s="22"/>
      <c r="AT3" s="19" t="s">
        <v>85</v>
      </c>
    </row>
    <row r="4" spans="2:46" s="1" customFormat="1" ht="24.95" customHeight="1">
      <c r="B4" s="22"/>
      <c r="D4" s="23" t="s">
        <v>104</v>
      </c>
      <c r="L4" s="22"/>
      <c r="M4" s="88" t="s">
        <v>11</v>
      </c>
      <c r="AT4" s="19" t="s">
        <v>4</v>
      </c>
    </row>
    <row r="5" spans="2:12" s="1" customFormat="1" ht="6.95" customHeight="1">
      <c r="B5" s="22"/>
      <c r="L5" s="22"/>
    </row>
    <row r="6" spans="2:12" s="1" customFormat="1" ht="12" customHeight="1">
      <c r="B6" s="22"/>
      <c r="D6" s="28" t="s">
        <v>15</v>
      </c>
      <c r="L6" s="22"/>
    </row>
    <row r="7" spans="2:12" s="1" customFormat="1" ht="23.25" customHeight="1">
      <c r="B7" s="22"/>
      <c r="E7" s="335" t="str">
        <f>'Rekapitulace stavby'!K6</f>
        <v>Rekonstrukce lékařských pokojů, skladových a technických prostor Nemocnice Nymburk s.r.o.</v>
      </c>
      <c r="F7" s="336"/>
      <c r="G7" s="336"/>
      <c r="H7" s="336"/>
      <c r="L7" s="22"/>
    </row>
    <row r="8" spans="1:31" s="2" customFormat="1" ht="12" customHeight="1">
      <c r="A8" s="31"/>
      <c r="B8" s="32"/>
      <c r="C8" s="31"/>
      <c r="D8" s="28" t="s">
        <v>105</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5" t="s">
        <v>1579</v>
      </c>
      <c r="F9" s="334"/>
      <c r="G9" s="334"/>
      <c r="H9" s="334"/>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18</v>
      </c>
      <c r="G11" s="31"/>
      <c r="H11" s="31"/>
      <c r="I11" s="28" t="s">
        <v>19</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21</v>
      </c>
      <c r="E12" s="31"/>
      <c r="F12" s="26" t="s">
        <v>22</v>
      </c>
      <c r="G12" s="31"/>
      <c r="H12" s="31"/>
      <c r="I12" s="28" t="s">
        <v>23</v>
      </c>
      <c r="J12" s="49" t="str">
        <f>'Rekapitulace stavby'!AN8</f>
        <v>1. 9. 2020</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25</v>
      </c>
      <c r="E14" s="31"/>
      <c r="F14" s="31"/>
      <c r="G14" s="31"/>
      <c r="H14" s="31"/>
      <c r="I14" s="28" t="s">
        <v>26</v>
      </c>
      <c r="J14" s="26" t="s">
        <v>27</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28</v>
      </c>
      <c r="F15" s="31"/>
      <c r="G15" s="31"/>
      <c r="H15" s="31"/>
      <c r="I15" s="28" t="s">
        <v>29</v>
      </c>
      <c r="J15" s="26" t="s">
        <v>30</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31</v>
      </c>
      <c r="E17" s="31"/>
      <c r="F17" s="31"/>
      <c r="G17" s="31"/>
      <c r="H17" s="31"/>
      <c r="I17" s="28" t="s">
        <v>26</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10" t="str">
        <f>'Rekapitulace stavby'!E14</f>
        <v xml:space="preserve"> </v>
      </c>
      <c r="F18" s="310"/>
      <c r="G18" s="310"/>
      <c r="H18" s="310"/>
      <c r="I18" s="28" t="s">
        <v>29</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33</v>
      </c>
      <c r="E20" s="31"/>
      <c r="F20" s="31"/>
      <c r="G20" s="31"/>
      <c r="H20" s="31"/>
      <c r="I20" s="28" t="s">
        <v>26</v>
      </c>
      <c r="J20" s="26" t="s">
        <v>34</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35</v>
      </c>
      <c r="F21" s="31"/>
      <c r="G21" s="31"/>
      <c r="H21" s="31"/>
      <c r="I21" s="28" t="s">
        <v>29</v>
      </c>
      <c r="J21" s="26" t="s">
        <v>36</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38</v>
      </c>
      <c r="E23" s="31"/>
      <c r="F23" s="31"/>
      <c r="G23" s="31"/>
      <c r="H23" s="31"/>
      <c r="I23" s="28" t="s">
        <v>26</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29</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39</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12" t="s">
        <v>40</v>
      </c>
      <c r="F27" s="312"/>
      <c r="G27" s="312"/>
      <c r="H27" s="312"/>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41</v>
      </c>
      <c r="E30" s="31"/>
      <c r="F30" s="31"/>
      <c r="G30" s="31"/>
      <c r="H30" s="31"/>
      <c r="I30" s="31"/>
      <c r="J30" s="65">
        <f>ROUND(J82,2)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43</v>
      </c>
      <c r="G32" s="31"/>
      <c r="H32" s="31"/>
      <c r="I32" s="35" t="s">
        <v>42</v>
      </c>
      <c r="J32" s="35" t="s">
        <v>44</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45</v>
      </c>
      <c r="E33" s="28" t="s">
        <v>46</v>
      </c>
      <c r="F33" s="95">
        <f>ROUND((SUM(BE82:BE89)),2)</f>
        <v>0</v>
      </c>
      <c r="G33" s="31"/>
      <c r="H33" s="31"/>
      <c r="I33" s="96">
        <v>0.21</v>
      </c>
      <c r="J33" s="95">
        <f>ROUND(((SUM(BE82:BE89))*I33),2)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47</v>
      </c>
      <c r="F34" s="95">
        <f>ROUND((SUM(BF82:BF89)),2)</f>
        <v>0</v>
      </c>
      <c r="G34" s="31"/>
      <c r="H34" s="31"/>
      <c r="I34" s="96">
        <v>0.15</v>
      </c>
      <c r="J34" s="95">
        <f>ROUND(((SUM(BF82:BF89))*I34),2)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48</v>
      </c>
      <c r="F35" s="95">
        <f>ROUND((SUM(BG82:BG89)),2)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49</v>
      </c>
      <c r="F36" s="95">
        <f>ROUND((SUM(BH82:BH89)),2)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50</v>
      </c>
      <c r="F37" s="95">
        <f>ROUND((SUM(BI82:BI89)),2)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51</v>
      </c>
      <c r="E39" s="54"/>
      <c r="F39" s="54"/>
      <c r="G39" s="99" t="s">
        <v>52</v>
      </c>
      <c r="H39" s="100" t="s">
        <v>53</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107</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35" t="str">
        <f>E7</f>
        <v>Rekonstrukce lékařských pokojů, skladových a technických prostor Nemocnice Nymburk s.r.o.</v>
      </c>
      <c r="F48" s="336"/>
      <c r="G48" s="336"/>
      <c r="H48" s="336"/>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105</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5" t="str">
        <f>E9</f>
        <v>07 - VRN</v>
      </c>
      <c r="F50" s="334"/>
      <c r="G50" s="334"/>
      <c r="H50" s="334"/>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21</v>
      </c>
      <c r="D52" s="31"/>
      <c r="E52" s="31"/>
      <c r="F52" s="26" t="str">
        <f>F12</f>
        <v>Nymburk</v>
      </c>
      <c r="G52" s="31"/>
      <c r="H52" s="31"/>
      <c r="I52" s="28" t="s">
        <v>23</v>
      </c>
      <c r="J52" s="49" t="str">
        <f>IF(J12="","",J12)</f>
        <v>1. 9. 2020</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25</v>
      </c>
      <c r="D54" s="31"/>
      <c r="E54" s="31"/>
      <c r="F54" s="26" t="str">
        <f>E15</f>
        <v>Nemocnice Nymburk s.r.o.</v>
      </c>
      <c r="G54" s="31"/>
      <c r="H54" s="31"/>
      <c r="I54" s="28" t="s">
        <v>33</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31</v>
      </c>
      <c r="D55" s="31"/>
      <c r="E55" s="31"/>
      <c r="F55" s="26" t="str">
        <f>IF(E18="","",E18)</f>
        <v xml:space="preserve"> </v>
      </c>
      <c r="G55" s="31"/>
      <c r="H55" s="31"/>
      <c r="I55" s="28" t="s">
        <v>38</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108</v>
      </c>
      <c r="D57" s="97"/>
      <c r="E57" s="97"/>
      <c r="F57" s="97"/>
      <c r="G57" s="97"/>
      <c r="H57" s="97"/>
      <c r="I57" s="97"/>
      <c r="J57" s="104" t="s">
        <v>109</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73</v>
      </c>
      <c r="D59" s="31"/>
      <c r="E59" s="31"/>
      <c r="F59" s="31"/>
      <c r="G59" s="31"/>
      <c r="H59" s="31"/>
      <c r="I59" s="31"/>
      <c r="J59" s="65">
        <f>J82</f>
        <v>0</v>
      </c>
      <c r="K59" s="31"/>
      <c r="L59" s="89"/>
      <c r="S59" s="31"/>
      <c r="T59" s="31"/>
      <c r="U59" s="31"/>
      <c r="V59" s="31"/>
      <c r="W59" s="31"/>
      <c r="X59" s="31"/>
      <c r="Y59" s="31"/>
      <c r="Z59" s="31"/>
      <c r="AA59" s="31"/>
      <c r="AB59" s="31"/>
      <c r="AC59" s="31"/>
      <c r="AD59" s="31"/>
      <c r="AE59" s="31"/>
      <c r="AU59" s="19" t="s">
        <v>110</v>
      </c>
    </row>
    <row r="60" spans="2:12" s="9" customFormat="1" ht="24.95" customHeight="1">
      <c r="B60" s="106"/>
      <c r="D60" s="107" t="s">
        <v>879</v>
      </c>
      <c r="E60" s="108"/>
      <c r="F60" s="108"/>
      <c r="G60" s="108"/>
      <c r="H60" s="108"/>
      <c r="I60" s="108"/>
      <c r="J60" s="109">
        <f>J83</f>
        <v>0</v>
      </c>
      <c r="L60" s="106"/>
    </row>
    <row r="61" spans="2:12" s="10" customFormat="1" ht="19.9" customHeight="1">
      <c r="B61" s="110"/>
      <c r="D61" s="111" t="s">
        <v>1813</v>
      </c>
      <c r="E61" s="112"/>
      <c r="F61" s="112"/>
      <c r="G61" s="112"/>
      <c r="H61" s="112"/>
      <c r="I61" s="112"/>
      <c r="J61" s="113">
        <f>J84</f>
        <v>0</v>
      </c>
      <c r="L61" s="110"/>
    </row>
    <row r="62" spans="2:12" s="10" customFormat="1" ht="19.9" customHeight="1">
      <c r="B62" s="110"/>
      <c r="D62" s="111" t="s">
        <v>1814</v>
      </c>
      <c r="E62" s="112"/>
      <c r="F62" s="112"/>
      <c r="G62" s="112"/>
      <c r="H62" s="112"/>
      <c r="I62" s="112"/>
      <c r="J62" s="113">
        <f>J87</f>
        <v>0</v>
      </c>
      <c r="L62" s="110"/>
    </row>
    <row r="63" spans="1:31" s="2" customFormat="1" ht="21.75" customHeight="1">
      <c r="A63" s="31"/>
      <c r="B63" s="32"/>
      <c r="C63" s="31"/>
      <c r="D63" s="31"/>
      <c r="E63" s="31"/>
      <c r="F63" s="31"/>
      <c r="G63" s="31"/>
      <c r="H63" s="31"/>
      <c r="I63" s="31"/>
      <c r="J63" s="31"/>
      <c r="K63" s="31"/>
      <c r="L63" s="89"/>
      <c r="S63" s="31"/>
      <c r="T63" s="31"/>
      <c r="U63" s="31"/>
      <c r="V63" s="31"/>
      <c r="W63" s="31"/>
      <c r="X63" s="31"/>
      <c r="Y63" s="31"/>
      <c r="Z63" s="31"/>
      <c r="AA63" s="31"/>
      <c r="AB63" s="31"/>
      <c r="AC63" s="31"/>
      <c r="AD63" s="31"/>
      <c r="AE63" s="31"/>
    </row>
    <row r="64" spans="1:31" s="2" customFormat="1" ht="6.95" customHeight="1">
      <c r="A64" s="31"/>
      <c r="B64" s="41"/>
      <c r="C64" s="42"/>
      <c r="D64" s="42"/>
      <c r="E64" s="42"/>
      <c r="F64" s="42"/>
      <c r="G64" s="42"/>
      <c r="H64" s="42"/>
      <c r="I64" s="42"/>
      <c r="J64" s="42"/>
      <c r="K64" s="42"/>
      <c r="L64" s="89"/>
      <c r="S64" s="31"/>
      <c r="T64" s="31"/>
      <c r="U64" s="31"/>
      <c r="V64" s="31"/>
      <c r="W64" s="31"/>
      <c r="X64" s="31"/>
      <c r="Y64" s="31"/>
      <c r="Z64" s="31"/>
      <c r="AA64" s="31"/>
      <c r="AB64" s="31"/>
      <c r="AC64" s="31"/>
      <c r="AD64" s="31"/>
      <c r="AE64" s="31"/>
    </row>
    <row r="68" spans="1:31" s="2" customFormat="1" ht="6.95" customHeight="1">
      <c r="A68" s="31"/>
      <c r="B68" s="43"/>
      <c r="C68" s="44"/>
      <c r="D68" s="44"/>
      <c r="E68" s="44"/>
      <c r="F68" s="44"/>
      <c r="G68" s="44"/>
      <c r="H68" s="44"/>
      <c r="I68" s="44"/>
      <c r="J68" s="44"/>
      <c r="K68" s="44"/>
      <c r="L68" s="89"/>
      <c r="S68" s="31"/>
      <c r="T68" s="31"/>
      <c r="U68" s="31"/>
      <c r="V68" s="31"/>
      <c r="W68" s="31"/>
      <c r="X68" s="31"/>
      <c r="Y68" s="31"/>
      <c r="Z68" s="31"/>
      <c r="AA68" s="31"/>
      <c r="AB68" s="31"/>
      <c r="AC68" s="31"/>
      <c r="AD68" s="31"/>
      <c r="AE68" s="31"/>
    </row>
    <row r="69" spans="1:31" s="2" customFormat="1" ht="24.95" customHeight="1">
      <c r="A69" s="31"/>
      <c r="B69" s="32"/>
      <c r="C69" s="23" t="s">
        <v>129</v>
      </c>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12" customHeight="1">
      <c r="A71" s="31"/>
      <c r="B71" s="32"/>
      <c r="C71" s="28" t="s">
        <v>15</v>
      </c>
      <c r="D71" s="31"/>
      <c r="E71" s="31"/>
      <c r="F71" s="31"/>
      <c r="G71" s="31"/>
      <c r="H71" s="31"/>
      <c r="I71" s="31"/>
      <c r="J71" s="31"/>
      <c r="K71" s="31"/>
      <c r="L71" s="89"/>
      <c r="S71" s="31"/>
      <c r="T71" s="31"/>
      <c r="U71" s="31"/>
      <c r="V71" s="31"/>
      <c r="W71" s="31"/>
      <c r="X71" s="31"/>
      <c r="Y71" s="31"/>
      <c r="Z71" s="31"/>
      <c r="AA71" s="31"/>
      <c r="AB71" s="31"/>
      <c r="AC71" s="31"/>
      <c r="AD71" s="31"/>
      <c r="AE71" s="31"/>
    </row>
    <row r="72" spans="1:31" s="2" customFormat="1" ht="23.25" customHeight="1">
      <c r="A72" s="31"/>
      <c r="B72" s="32"/>
      <c r="C72" s="31"/>
      <c r="D72" s="31"/>
      <c r="E72" s="335" t="str">
        <f>E7</f>
        <v>Rekonstrukce lékařských pokojů, skladových a technických prostor Nemocnice Nymburk s.r.o.</v>
      </c>
      <c r="F72" s="336"/>
      <c r="G72" s="336"/>
      <c r="H72" s="336"/>
      <c r="I72" s="31"/>
      <c r="J72" s="31"/>
      <c r="K72" s="31"/>
      <c r="L72" s="89"/>
      <c r="S72" s="31"/>
      <c r="T72" s="31"/>
      <c r="U72" s="31"/>
      <c r="V72" s="31"/>
      <c r="W72" s="31"/>
      <c r="X72" s="31"/>
      <c r="Y72" s="31"/>
      <c r="Z72" s="31"/>
      <c r="AA72" s="31"/>
      <c r="AB72" s="31"/>
      <c r="AC72" s="31"/>
      <c r="AD72" s="31"/>
      <c r="AE72" s="31"/>
    </row>
    <row r="73" spans="1:31" s="2" customFormat="1" ht="12" customHeight="1">
      <c r="A73" s="31"/>
      <c r="B73" s="32"/>
      <c r="C73" s="28" t="s">
        <v>105</v>
      </c>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6.5" customHeight="1">
      <c r="A74" s="31"/>
      <c r="B74" s="32"/>
      <c r="C74" s="31"/>
      <c r="D74" s="31"/>
      <c r="E74" s="325" t="str">
        <f>E9</f>
        <v>07 - VRN</v>
      </c>
      <c r="F74" s="334"/>
      <c r="G74" s="334"/>
      <c r="H74" s="334"/>
      <c r="I74" s="31"/>
      <c r="J74" s="31"/>
      <c r="K74" s="31"/>
      <c r="L74" s="89"/>
      <c r="S74" s="31"/>
      <c r="T74" s="31"/>
      <c r="U74" s="31"/>
      <c r="V74" s="31"/>
      <c r="W74" s="31"/>
      <c r="X74" s="31"/>
      <c r="Y74" s="31"/>
      <c r="Z74" s="31"/>
      <c r="AA74" s="31"/>
      <c r="AB74" s="31"/>
      <c r="AC74" s="31"/>
      <c r="AD74" s="31"/>
      <c r="AE74" s="31"/>
    </row>
    <row r="75" spans="1:31" s="2" customFormat="1" ht="6.9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21</v>
      </c>
      <c r="D76" s="31"/>
      <c r="E76" s="31"/>
      <c r="F76" s="26" t="str">
        <f>F12</f>
        <v>Nymburk</v>
      </c>
      <c r="G76" s="31"/>
      <c r="H76" s="31"/>
      <c r="I76" s="28" t="s">
        <v>23</v>
      </c>
      <c r="J76" s="49" t="str">
        <f>IF(J12="","",J12)</f>
        <v>1. 9. 2020</v>
      </c>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5.7" customHeight="1">
      <c r="A78" s="31"/>
      <c r="B78" s="32"/>
      <c r="C78" s="28" t="s">
        <v>25</v>
      </c>
      <c r="D78" s="31"/>
      <c r="E78" s="31"/>
      <c r="F78" s="26" t="str">
        <f>E15</f>
        <v>Nemocnice Nymburk s.r.o.</v>
      </c>
      <c r="G78" s="31"/>
      <c r="H78" s="31"/>
      <c r="I78" s="28" t="s">
        <v>33</v>
      </c>
      <c r="J78" s="29" t="str">
        <f>E21</f>
        <v>Ing. arch. Pavel Petrák</v>
      </c>
      <c r="K78" s="31"/>
      <c r="L78" s="89"/>
      <c r="S78" s="31"/>
      <c r="T78" s="31"/>
      <c r="U78" s="31"/>
      <c r="V78" s="31"/>
      <c r="W78" s="31"/>
      <c r="X78" s="31"/>
      <c r="Y78" s="31"/>
      <c r="Z78" s="31"/>
      <c r="AA78" s="31"/>
      <c r="AB78" s="31"/>
      <c r="AC78" s="31"/>
      <c r="AD78" s="31"/>
      <c r="AE78" s="31"/>
    </row>
    <row r="79" spans="1:31" s="2" customFormat="1" ht="15.2" customHeight="1">
      <c r="A79" s="31"/>
      <c r="B79" s="32"/>
      <c r="C79" s="28" t="s">
        <v>31</v>
      </c>
      <c r="D79" s="31"/>
      <c r="E79" s="31"/>
      <c r="F79" s="26" t="str">
        <f>IF(E18="","",E18)</f>
        <v xml:space="preserve"> </v>
      </c>
      <c r="G79" s="31"/>
      <c r="H79" s="31"/>
      <c r="I79" s="28" t="s">
        <v>38</v>
      </c>
      <c r="J79" s="29" t="str">
        <f>E24</f>
        <v xml:space="preserve"> </v>
      </c>
      <c r="K79" s="31"/>
      <c r="L79" s="89"/>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11" customFormat="1" ht="29.25" customHeight="1">
      <c r="A81" s="114"/>
      <c r="B81" s="115"/>
      <c r="C81" s="116" t="s">
        <v>130</v>
      </c>
      <c r="D81" s="117" t="s">
        <v>60</v>
      </c>
      <c r="E81" s="117" t="s">
        <v>56</v>
      </c>
      <c r="F81" s="117" t="s">
        <v>57</v>
      </c>
      <c r="G81" s="117" t="s">
        <v>131</v>
      </c>
      <c r="H81" s="117" t="s">
        <v>132</v>
      </c>
      <c r="I81" s="117" t="s">
        <v>133</v>
      </c>
      <c r="J81" s="117" t="s">
        <v>109</v>
      </c>
      <c r="K81" s="118" t="s">
        <v>134</v>
      </c>
      <c r="L81" s="119"/>
      <c r="M81" s="56" t="s">
        <v>3</v>
      </c>
      <c r="N81" s="57" t="s">
        <v>45</v>
      </c>
      <c r="O81" s="57" t="s">
        <v>135</v>
      </c>
      <c r="P81" s="57" t="s">
        <v>136</v>
      </c>
      <c r="Q81" s="57" t="s">
        <v>137</v>
      </c>
      <c r="R81" s="57" t="s">
        <v>138</v>
      </c>
      <c r="S81" s="57" t="s">
        <v>139</v>
      </c>
      <c r="T81" s="58" t="s">
        <v>140</v>
      </c>
      <c r="U81" s="114"/>
      <c r="V81" s="114"/>
      <c r="W81" s="114"/>
      <c r="X81" s="114"/>
      <c r="Y81" s="114"/>
      <c r="Z81" s="114"/>
      <c r="AA81" s="114"/>
      <c r="AB81" s="114"/>
      <c r="AC81" s="114"/>
      <c r="AD81" s="114"/>
      <c r="AE81" s="114"/>
    </row>
    <row r="82" spans="1:63" s="2" customFormat="1" ht="22.9" customHeight="1">
      <c r="A82" s="31"/>
      <c r="B82" s="32"/>
      <c r="C82" s="63" t="s">
        <v>141</v>
      </c>
      <c r="D82" s="31"/>
      <c r="E82" s="31"/>
      <c r="F82" s="31"/>
      <c r="G82" s="31"/>
      <c r="H82" s="31"/>
      <c r="I82" s="31"/>
      <c r="J82" s="120">
        <f>J83</f>
        <v>0</v>
      </c>
      <c r="K82" s="31"/>
      <c r="L82" s="32"/>
      <c r="M82" s="59"/>
      <c r="N82" s="50"/>
      <c r="O82" s="60"/>
      <c r="P82" s="121" t="e">
        <f>P83</f>
        <v>#REF!</v>
      </c>
      <c r="Q82" s="60"/>
      <c r="R82" s="121" t="e">
        <f>R83</f>
        <v>#REF!</v>
      </c>
      <c r="S82" s="60"/>
      <c r="T82" s="122" t="e">
        <f>T83</f>
        <v>#REF!</v>
      </c>
      <c r="U82" s="31"/>
      <c r="V82" s="31"/>
      <c r="W82" s="31"/>
      <c r="X82" s="31"/>
      <c r="Y82" s="31"/>
      <c r="Z82" s="31"/>
      <c r="AA82" s="31"/>
      <c r="AB82" s="31"/>
      <c r="AC82" s="31"/>
      <c r="AD82" s="31"/>
      <c r="AE82" s="31"/>
      <c r="AT82" s="19" t="s">
        <v>74</v>
      </c>
      <c r="AU82" s="19" t="s">
        <v>110</v>
      </c>
      <c r="BK82" s="123" t="e">
        <f>BK83</f>
        <v>#REF!</v>
      </c>
    </row>
    <row r="83" spans="2:63" s="12" customFormat="1" ht="25.9" customHeight="1">
      <c r="B83" s="124"/>
      <c r="D83" s="125" t="s">
        <v>74</v>
      </c>
      <c r="E83" s="126" t="s">
        <v>102</v>
      </c>
      <c r="F83" s="126" t="s">
        <v>1157</v>
      </c>
      <c r="J83" s="127">
        <f>J84+J87</f>
        <v>0</v>
      </c>
      <c r="L83" s="124"/>
      <c r="M83" s="128"/>
      <c r="N83" s="129"/>
      <c r="O83" s="129"/>
      <c r="P83" s="130" t="e">
        <f>#REF!+P84+#REF!+P87+#REF!</f>
        <v>#REF!</v>
      </c>
      <c r="Q83" s="129"/>
      <c r="R83" s="130" t="e">
        <f>#REF!+R84+#REF!+R87+#REF!</f>
        <v>#REF!</v>
      </c>
      <c r="S83" s="129"/>
      <c r="T83" s="131" t="e">
        <f>#REF!+T84+#REF!+T87+#REF!</f>
        <v>#REF!</v>
      </c>
      <c r="AR83" s="125" t="s">
        <v>173</v>
      </c>
      <c r="AT83" s="132" t="s">
        <v>74</v>
      </c>
      <c r="AU83" s="132" t="s">
        <v>75</v>
      </c>
      <c r="AY83" s="125" t="s">
        <v>144</v>
      </c>
      <c r="BK83" s="133" t="e">
        <f>#REF!+BK84+#REF!+BK87+#REF!</f>
        <v>#REF!</v>
      </c>
    </row>
    <row r="84" spans="2:63" s="12" customFormat="1" ht="22.9" customHeight="1">
      <c r="B84" s="124"/>
      <c r="D84" s="125" t="s">
        <v>74</v>
      </c>
      <c r="E84" s="134" t="s">
        <v>1580</v>
      </c>
      <c r="F84" s="134" t="s">
        <v>1581</v>
      </c>
      <c r="J84" s="135">
        <f>BK84</f>
        <v>0</v>
      </c>
      <c r="L84" s="124"/>
      <c r="M84" s="128"/>
      <c r="N84" s="129"/>
      <c r="O84" s="129"/>
      <c r="P84" s="130">
        <f>SUM(P85:P86)</f>
        <v>0</v>
      </c>
      <c r="Q84" s="129"/>
      <c r="R84" s="130">
        <f>SUM(R85:R86)</f>
        <v>0</v>
      </c>
      <c r="S84" s="129"/>
      <c r="T84" s="131">
        <f>SUM(T85:T86)</f>
        <v>0</v>
      </c>
      <c r="AR84" s="125" t="s">
        <v>173</v>
      </c>
      <c r="AT84" s="132" t="s">
        <v>74</v>
      </c>
      <c r="AU84" s="132" t="s">
        <v>83</v>
      </c>
      <c r="AY84" s="125" t="s">
        <v>144</v>
      </c>
      <c r="BK84" s="133">
        <f>SUM(BK85:BK86)</f>
        <v>0</v>
      </c>
    </row>
    <row r="85" spans="1:65" s="2" customFormat="1" ht="14.45" customHeight="1">
      <c r="A85" s="31"/>
      <c r="B85" s="136"/>
      <c r="C85" s="137">
        <v>1</v>
      </c>
      <c r="D85" s="137" t="s">
        <v>147</v>
      </c>
      <c r="E85" s="138" t="s">
        <v>1582</v>
      </c>
      <c r="F85" s="139" t="s">
        <v>1581</v>
      </c>
      <c r="G85" s="140" t="s">
        <v>1162</v>
      </c>
      <c r="H85" s="141">
        <v>1</v>
      </c>
      <c r="I85" s="142"/>
      <c r="J85" s="142">
        <f>ROUND(I85*H85,2)</f>
        <v>0</v>
      </c>
      <c r="K85" s="139" t="s">
        <v>157</v>
      </c>
      <c r="L85" s="32"/>
      <c r="M85" s="143" t="s">
        <v>3</v>
      </c>
      <c r="N85" s="144" t="s">
        <v>46</v>
      </c>
      <c r="O85" s="145">
        <v>0</v>
      </c>
      <c r="P85" s="145">
        <f>O85*H85</f>
        <v>0</v>
      </c>
      <c r="Q85" s="145">
        <v>0</v>
      </c>
      <c r="R85" s="145">
        <f>Q85*H85</f>
        <v>0</v>
      </c>
      <c r="S85" s="145">
        <v>0</v>
      </c>
      <c r="T85" s="146">
        <f>S85*H85</f>
        <v>0</v>
      </c>
      <c r="U85" s="31"/>
      <c r="V85" s="31"/>
      <c r="W85" s="31"/>
      <c r="X85" s="31"/>
      <c r="Y85" s="31"/>
      <c r="Z85" s="31"/>
      <c r="AA85" s="31"/>
      <c r="AB85" s="31"/>
      <c r="AC85" s="31"/>
      <c r="AD85" s="31"/>
      <c r="AE85" s="31"/>
      <c r="AR85" s="147" t="s">
        <v>1163</v>
      </c>
      <c r="AT85" s="147" t="s">
        <v>147</v>
      </c>
      <c r="AU85" s="147" t="s">
        <v>85</v>
      </c>
      <c r="AY85" s="19" t="s">
        <v>144</v>
      </c>
      <c r="BE85" s="148">
        <f>IF(N85="základní",J85,0)</f>
        <v>0</v>
      </c>
      <c r="BF85" s="148">
        <f>IF(N85="snížená",J85,0)</f>
        <v>0</v>
      </c>
      <c r="BG85" s="148">
        <f>IF(N85="zákl. přenesená",J85,0)</f>
        <v>0</v>
      </c>
      <c r="BH85" s="148">
        <f>IF(N85="sníž. přenesená",J85,0)</f>
        <v>0</v>
      </c>
      <c r="BI85" s="148">
        <f>IF(N85="nulová",J85,0)</f>
        <v>0</v>
      </c>
      <c r="BJ85" s="19" t="s">
        <v>83</v>
      </c>
      <c r="BK85" s="148">
        <f>ROUND(I85*H85,2)</f>
        <v>0</v>
      </c>
      <c r="BL85" s="19" t="s">
        <v>1163</v>
      </c>
      <c r="BM85" s="147" t="s">
        <v>1583</v>
      </c>
    </row>
    <row r="86" spans="1:47" s="2" customFormat="1" ht="29.25">
      <c r="A86" s="31"/>
      <c r="B86" s="32"/>
      <c r="C86" s="31"/>
      <c r="D86" s="150" t="s">
        <v>270</v>
      </c>
      <c r="E86" s="31"/>
      <c r="F86" s="163" t="s">
        <v>1584</v>
      </c>
      <c r="G86" s="31"/>
      <c r="H86" s="31"/>
      <c r="I86" s="31"/>
      <c r="J86" s="31"/>
      <c r="K86" s="31"/>
      <c r="L86" s="32"/>
      <c r="M86" s="164"/>
      <c r="N86" s="165"/>
      <c r="O86" s="52"/>
      <c r="P86" s="52"/>
      <c r="Q86" s="52"/>
      <c r="R86" s="52"/>
      <c r="S86" s="52"/>
      <c r="T86" s="53"/>
      <c r="U86" s="31"/>
      <c r="V86" s="31"/>
      <c r="W86" s="31"/>
      <c r="X86" s="31"/>
      <c r="Y86" s="31"/>
      <c r="Z86" s="31"/>
      <c r="AA86" s="31"/>
      <c r="AB86" s="31"/>
      <c r="AC86" s="31"/>
      <c r="AD86" s="31"/>
      <c r="AE86" s="31"/>
      <c r="AT86" s="19" t="s">
        <v>270</v>
      </c>
      <c r="AU86" s="19" t="s">
        <v>85</v>
      </c>
    </row>
    <row r="87" spans="2:63" s="12" customFormat="1" ht="22.9" customHeight="1">
      <c r="B87" s="124"/>
      <c r="D87" s="125" t="s">
        <v>74</v>
      </c>
      <c r="E87" s="134" t="s">
        <v>1815</v>
      </c>
      <c r="F87" s="134" t="s">
        <v>1159</v>
      </c>
      <c r="J87" s="135">
        <f>BK87</f>
        <v>0</v>
      </c>
      <c r="L87" s="124"/>
      <c r="M87" s="128"/>
      <c r="N87" s="129"/>
      <c r="O87" s="129"/>
      <c r="P87" s="130">
        <f>SUM(P88:P89)</f>
        <v>0</v>
      </c>
      <c r="Q87" s="129"/>
      <c r="R87" s="130">
        <f>SUM(R88:R89)</f>
        <v>0</v>
      </c>
      <c r="S87" s="129"/>
      <c r="T87" s="131">
        <f>SUM(T88:T89)</f>
        <v>0</v>
      </c>
      <c r="AR87" s="125" t="s">
        <v>173</v>
      </c>
      <c r="AT87" s="132" t="s">
        <v>74</v>
      </c>
      <c r="AU87" s="132" t="s">
        <v>83</v>
      </c>
      <c r="AY87" s="125" t="s">
        <v>144</v>
      </c>
      <c r="BK87" s="133">
        <f>SUM(BK88:BK89)</f>
        <v>0</v>
      </c>
    </row>
    <row r="88" spans="1:65" s="2" customFormat="1" ht="14.45" customHeight="1">
      <c r="A88" s="31"/>
      <c r="B88" s="136"/>
      <c r="C88" s="137">
        <v>2</v>
      </c>
      <c r="D88" s="137" t="s">
        <v>147</v>
      </c>
      <c r="E88" s="138" t="s">
        <v>1160</v>
      </c>
      <c r="F88" s="139" t="s">
        <v>1772</v>
      </c>
      <c r="G88" s="140" t="s">
        <v>1162</v>
      </c>
      <c r="H88" s="141">
        <v>1</v>
      </c>
      <c r="I88" s="142"/>
      <c r="J88" s="142">
        <f>ROUND(I88*H88,2)</f>
        <v>0</v>
      </c>
      <c r="K88" s="139" t="s">
        <v>157</v>
      </c>
      <c r="L88" s="32"/>
      <c r="M88" s="143" t="s">
        <v>3</v>
      </c>
      <c r="N88" s="144" t="s">
        <v>46</v>
      </c>
      <c r="O88" s="145">
        <v>0</v>
      </c>
      <c r="P88" s="145">
        <f>O88*H88</f>
        <v>0</v>
      </c>
      <c r="Q88" s="145">
        <v>0</v>
      </c>
      <c r="R88" s="145">
        <f>Q88*H88</f>
        <v>0</v>
      </c>
      <c r="S88" s="145">
        <v>0</v>
      </c>
      <c r="T88" s="146">
        <f>S88*H88</f>
        <v>0</v>
      </c>
      <c r="U88" s="31"/>
      <c r="V88" s="31"/>
      <c r="W88" s="31"/>
      <c r="X88" s="31"/>
      <c r="Y88" s="31"/>
      <c r="Z88" s="31"/>
      <c r="AA88" s="31"/>
      <c r="AB88" s="31"/>
      <c r="AC88" s="31"/>
      <c r="AD88" s="31"/>
      <c r="AE88" s="31"/>
      <c r="AR88" s="147" t="s">
        <v>1163</v>
      </c>
      <c r="AT88" s="147" t="s">
        <v>147</v>
      </c>
      <c r="AU88" s="147" t="s">
        <v>85</v>
      </c>
      <c r="AY88" s="19" t="s">
        <v>144</v>
      </c>
      <c r="BE88" s="148">
        <f>IF(N88="základní",J88,0)</f>
        <v>0</v>
      </c>
      <c r="BF88" s="148">
        <f>IF(N88="snížená",J88,0)</f>
        <v>0</v>
      </c>
      <c r="BG88" s="148">
        <f>IF(N88="zákl. přenesená",J88,0)</f>
        <v>0</v>
      </c>
      <c r="BH88" s="148">
        <f>IF(N88="sníž. přenesená",J88,0)</f>
        <v>0</v>
      </c>
      <c r="BI88" s="148">
        <f>IF(N88="nulová",J88,0)</f>
        <v>0</v>
      </c>
      <c r="BJ88" s="19" t="s">
        <v>83</v>
      </c>
      <c r="BK88" s="148">
        <f>ROUND(I88*H88,2)</f>
        <v>0</v>
      </c>
      <c r="BL88" s="19" t="s">
        <v>1163</v>
      </c>
      <c r="BM88" s="147" t="s">
        <v>1585</v>
      </c>
    </row>
    <row r="89" spans="1:47" s="2" customFormat="1" ht="29.25">
      <c r="A89" s="31"/>
      <c r="B89" s="32"/>
      <c r="C89" s="31"/>
      <c r="D89" s="150" t="s">
        <v>270</v>
      </c>
      <c r="E89" s="31"/>
      <c r="F89" s="163" t="s">
        <v>1773</v>
      </c>
      <c r="G89" s="31"/>
      <c r="H89" s="31"/>
      <c r="I89" s="31"/>
      <c r="J89" s="31"/>
      <c r="K89" s="31"/>
      <c r="L89" s="32"/>
      <c r="M89" s="164"/>
      <c r="N89" s="165"/>
      <c r="O89" s="52"/>
      <c r="P89" s="52"/>
      <c r="Q89" s="52"/>
      <c r="R89" s="52"/>
      <c r="S89" s="52"/>
      <c r="T89" s="53"/>
      <c r="U89" s="31"/>
      <c r="V89" s="31"/>
      <c r="W89" s="31"/>
      <c r="X89" s="31"/>
      <c r="Y89" s="31"/>
      <c r="Z89" s="31"/>
      <c r="AA89" s="31"/>
      <c r="AB89" s="31"/>
      <c r="AC89" s="31"/>
      <c r="AD89" s="31"/>
      <c r="AE89" s="31"/>
      <c r="AT89" s="19" t="s">
        <v>270</v>
      </c>
      <c r="AU89" s="19" t="s">
        <v>85</v>
      </c>
    </row>
    <row r="90" spans="1:31" s="2" customFormat="1" ht="6.95" customHeight="1">
      <c r="A90" s="31"/>
      <c r="B90" s="41"/>
      <c r="C90" s="42"/>
      <c r="D90" s="42"/>
      <c r="E90" s="42"/>
      <c r="F90" s="42"/>
      <c r="G90" s="42"/>
      <c r="H90" s="42"/>
      <c r="I90" s="42"/>
      <c r="J90" s="42"/>
      <c r="K90" s="42"/>
      <c r="L90" s="32"/>
      <c r="M90" s="31"/>
      <c r="O90" s="31"/>
      <c r="P90" s="31"/>
      <c r="Q90" s="31"/>
      <c r="R90" s="31"/>
      <c r="S90" s="31"/>
      <c r="T90" s="31"/>
      <c r="U90" s="31"/>
      <c r="V90" s="31"/>
      <c r="W90" s="31"/>
      <c r="X90" s="31"/>
      <c r="Y90" s="31"/>
      <c r="Z90" s="31"/>
      <c r="AA90" s="31"/>
      <c r="AB90" s="31"/>
      <c r="AC90" s="31"/>
      <c r="AD90" s="31"/>
      <c r="AE90" s="31"/>
    </row>
  </sheetData>
  <autoFilter ref="C81:K89"/>
  <mergeCells count="9">
    <mergeCell ref="E50:H50"/>
    <mergeCell ref="E72:H72"/>
    <mergeCell ref="E74:H7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fitToWidth="1" horizontalDpi="600" verticalDpi="600" orientation="portrait" paperSize="9" scale="77"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193" customWidth="1"/>
    <col min="2" max="2" width="1.7109375" style="193" customWidth="1"/>
    <col min="3" max="4" width="5.00390625" style="193" customWidth="1"/>
    <col min="5" max="5" width="11.7109375" style="193" customWidth="1"/>
    <col min="6" max="6" width="9.140625" style="193" customWidth="1"/>
    <col min="7" max="7" width="5.00390625" style="193" customWidth="1"/>
    <col min="8" max="8" width="77.8515625" style="193" customWidth="1"/>
    <col min="9" max="10" width="20.00390625" style="193" customWidth="1"/>
    <col min="11" max="11" width="1.7109375" style="193" customWidth="1"/>
  </cols>
  <sheetData>
    <row r="1" s="1" customFormat="1" ht="37.5" customHeight="1"/>
    <row r="2" spans="2:11" s="1" customFormat="1" ht="7.5" customHeight="1">
      <c r="B2" s="194"/>
      <c r="C2" s="195"/>
      <c r="D2" s="195"/>
      <c r="E2" s="195"/>
      <c r="F2" s="195"/>
      <c r="G2" s="195"/>
      <c r="H2" s="195"/>
      <c r="I2" s="195"/>
      <c r="J2" s="195"/>
      <c r="K2" s="196"/>
    </row>
    <row r="3" spans="2:11" s="17" customFormat="1" ht="45" customHeight="1">
      <c r="B3" s="197"/>
      <c r="C3" s="338" t="s">
        <v>1586</v>
      </c>
      <c r="D3" s="338"/>
      <c r="E3" s="338"/>
      <c r="F3" s="338"/>
      <c r="G3" s="338"/>
      <c r="H3" s="338"/>
      <c r="I3" s="338"/>
      <c r="J3" s="338"/>
      <c r="K3" s="198"/>
    </row>
    <row r="4" spans="2:11" s="1" customFormat="1" ht="25.5" customHeight="1">
      <c r="B4" s="199"/>
      <c r="C4" s="339" t="s">
        <v>1587</v>
      </c>
      <c r="D4" s="339"/>
      <c r="E4" s="339"/>
      <c r="F4" s="339"/>
      <c r="G4" s="339"/>
      <c r="H4" s="339"/>
      <c r="I4" s="339"/>
      <c r="J4" s="339"/>
      <c r="K4" s="200"/>
    </row>
    <row r="5" spans="2:11" s="1" customFormat="1" ht="5.25" customHeight="1">
      <c r="B5" s="199"/>
      <c r="C5" s="201"/>
      <c r="D5" s="201"/>
      <c r="E5" s="201"/>
      <c r="F5" s="201"/>
      <c r="G5" s="201"/>
      <c r="H5" s="201"/>
      <c r="I5" s="201"/>
      <c r="J5" s="201"/>
      <c r="K5" s="200"/>
    </row>
    <row r="6" spans="2:11" s="1" customFormat="1" ht="15" customHeight="1">
      <c r="B6" s="199"/>
      <c r="C6" s="337" t="s">
        <v>1588</v>
      </c>
      <c r="D6" s="337"/>
      <c r="E6" s="337"/>
      <c r="F6" s="337"/>
      <c r="G6" s="337"/>
      <c r="H6" s="337"/>
      <c r="I6" s="337"/>
      <c r="J6" s="337"/>
      <c r="K6" s="200"/>
    </row>
    <row r="7" spans="2:11" s="1" customFormat="1" ht="15" customHeight="1">
      <c r="B7" s="203"/>
      <c r="C7" s="337" t="s">
        <v>1589</v>
      </c>
      <c r="D7" s="337"/>
      <c r="E7" s="337"/>
      <c r="F7" s="337"/>
      <c r="G7" s="337"/>
      <c r="H7" s="337"/>
      <c r="I7" s="337"/>
      <c r="J7" s="337"/>
      <c r="K7" s="200"/>
    </row>
    <row r="8" spans="2:11" s="1" customFormat="1" ht="12.75" customHeight="1">
      <c r="B8" s="203"/>
      <c r="C8" s="202"/>
      <c r="D8" s="202"/>
      <c r="E8" s="202"/>
      <c r="F8" s="202"/>
      <c r="G8" s="202"/>
      <c r="H8" s="202"/>
      <c r="I8" s="202"/>
      <c r="J8" s="202"/>
      <c r="K8" s="200"/>
    </row>
    <row r="9" spans="2:11" s="1" customFormat="1" ht="15" customHeight="1">
      <c r="B9" s="203"/>
      <c r="C9" s="337" t="s">
        <v>1590</v>
      </c>
      <c r="D9" s="337"/>
      <c r="E9" s="337"/>
      <c r="F9" s="337"/>
      <c r="G9" s="337"/>
      <c r="H9" s="337"/>
      <c r="I9" s="337"/>
      <c r="J9" s="337"/>
      <c r="K9" s="200"/>
    </row>
    <row r="10" spans="2:11" s="1" customFormat="1" ht="15" customHeight="1">
      <c r="B10" s="203"/>
      <c r="C10" s="202"/>
      <c r="D10" s="337" t="s">
        <v>1591</v>
      </c>
      <c r="E10" s="337"/>
      <c r="F10" s="337"/>
      <c r="G10" s="337"/>
      <c r="H10" s="337"/>
      <c r="I10" s="337"/>
      <c r="J10" s="337"/>
      <c r="K10" s="200"/>
    </row>
    <row r="11" spans="2:11" s="1" customFormat="1" ht="15" customHeight="1">
      <c r="B11" s="203"/>
      <c r="C11" s="204"/>
      <c r="D11" s="337" t="s">
        <v>1592</v>
      </c>
      <c r="E11" s="337"/>
      <c r="F11" s="337"/>
      <c r="G11" s="337"/>
      <c r="H11" s="337"/>
      <c r="I11" s="337"/>
      <c r="J11" s="337"/>
      <c r="K11" s="200"/>
    </row>
    <row r="12" spans="2:11" s="1" customFormat="1" ht="15" customHeight="1">
      <c r="B12" s="203"/>
      <c r="C12" s="204"/>
      <c r="D12" s="202"/>
      <c r="E12" s="202"/>
      <c r="F12" s="202"/>
      <c r="G12" s="202"/>
      <c r="H12" s="202"/>
      <c r="I12" s="202"/>
      <c r="J12" s="202"/>
      <c r="K12" s="200"/>
    </row>
    <row r="13" spans="2:11" s="1" customFormat="1" ht="15" customHeight="1">
      <c r="B13" s="203"/>
      <c r="C13" s="204"/>
      <c r="D13" s="205" t="s">
        <v>1593</v>
      </c>
      <c r="E13" s="202"/>
      <c r="F13" s="202"/>
      <c r="G13" s="202"/>
      <c r="H13" s="202"/>
      <c r="I13" s="202"/>
      <c r="J13" s="202"/>
      <c r="K13" s="200"/>
    </row>
    <row r="14" spans="2:11" s="1" customFormat="1" ht="12.75" customHeight="1">
      <c r="B14" s="203"/>
      <c r="C14" s="204"/>
      <c r="D14" s="204"/>
      <c r="E14" s="204"/>
      <c r="F14" s="204"/>
      <c r="G14" s="204"/>
      <c r="H14" s="204"/>
      <c r="I14" s="204"/>
      <c r="J14" s="204"/>
      <c r="K14" s="200"/>
    </row>
    <row r="15" spans="2:11" s="1" customFormat="1" ht="15" customHeight="1">
      <c r="B15" s="203"/>
      <c r="C15" s="204"/>
      <c r="D15" s="337" t="s">
        <v>1594</v>
      </c>
      <c r="E15" s="337"/>
      <c r="F15" s="337"/>
      <c r="G15" s="337"/>
      <c r="H15" s="337"/>
      <c r="I15" s="337"/>
      <c r="J15" s="337"/>
      <c r="K15" s="200"/>
    </row>
    <row r="16" spans="2:11" s="1" customFormat="1" ht="15" customHeight="1">
      <c r="B16" s="203"/>
      <c r="C16" s="204"/>
      <c r="D16" s="337" t="s">
        <v>1595</v>
      </c>
      <c r="E16" s="337"/>
      <c r="F16" s="337"/>
      <c r="G16" s="337"/>
      <c r="H16" s="337"/>
      <c r="I16" s="337"/>
      <c r="J16" s="337"/>
      <c r="K16" s="200"/>
    </row>
    <row r="17" spans="2:11" s="1" customFormat="1" ht="15" customHeight="1">
      <c r="B17" s="203"/>
      <c r="C17" s="204"/>
      <c r="D17" s="337" t="s">
        <v>1596</v>
      </c>
      <c r="E17" s="337"/>
      <c r="F17" s="337"/>
      <c r="G17" s="337"/>
      <c r="H17" s="337"/>
      <c r="I17" s="337"/>
      <c r="J17" s="337"/>
      <c r="K17" s="200"/>
    </row>
    <row r="18" spans="2:11" s="1" customFormat="1" ht="15" customHeight="1">
      <c r="B18" s="203"/>
      <c r="C18" s="204"/>
      <c r="D18" s="204"/>
      <c r="E18" s="206" t="s">
        <v>82</v>
      </c>
      <c r="F18" s="337" t="s">
        <v>1597</v>
      </c>
      <c r="G18" s="337"/>
      <c r="H18" s="337"/>
      <c r="I18" s="337"/>
      <c r="J18" s="337"/>
      <c r="K18" s="200"/>
    </row>
    <row r="19" spans="2:11" s="1" customFormat="1" ht="15" customHeight="1">
      <c r="B19" s="203"/>
      <c r="C19" s="204"/>
      <c r="D19" s="204"/>
      <c r="E19" s="206" t="s">
        <v>1598</v>
      </c>
      <c r="F19" s="337" t="s">
        <v>1599</v>
      </c>
      <c r="G19" s="337"/>
      <c r="H19" s="337"/>
      <c r="I19" s="337"/>
      <c r="J19" s="337"/>
      <c r="K19" s="200"/>
    </row>
    <row r="20" spans="2:11" s="1" customFormat="1" ht="15" customHeight="1">
      <c r="B20" s="203"/>
      <c r="C20" s="204"/>
      <c r="D20" s="204"/>
      <c r="E20" s="206" t="s">
        <v>1600</v>
      </c>
      <c r="F20" s="337" t="s">
        <v>1601</v>
      </c>
      <c r="G20" s="337"/>
      <c r="H20" s="337"/>
      <c r="I20" s="337"/>
      <c r="J20" s="337"/>
      <c r="K20" s="200"/>
    </row>
    <row r="21" spans="2:11" s="1" customFormat="1" ht="15" customHeight="1">
      <c r="B21" s="203"/>
      <c r="C21" s="204"/>
      <c r="D21" s="204"/>
      <c r="E21" s="206" t="s">
        <v>1602</v>
      </c>
      <c r="F21" s="337" t="s">
        <v>1603</v>
      </c>
      <c r="G21" s="337"/>
      <c r="H21" s="337"/>
      <c r="I21" s="337"/>
      <c r="J21" s="337"/>
      <c r="K21" s="200"/>
    </row>
    <row r="22" spans="2:11" s="1" customFormat="1" ht="15" customHeight="1">
      <c r="B22" s="203"/>
      <c r="C22" s="204"/>
      <c r="D22" s="204"/>
      <c r="E22" s="206" t="s">
        <v>1604</v>
      </c>
      <c r="F22" s="337" t="s">
        <v>1605</v>
      </c>
      <c r="G22" s="337"/>
      <c r="H22" s="337"/>
      <c r="I22" s="337"/>
      <c r="J22" s="337"/>
      <c r="K22" s="200"/>
    </row>
    <row r="23" spans="2:11" s="1" customFormat="1" ht="15" customHeight="1">
      <c r="B23" s="203"/>
      <c r="C23" s="204"/>
      <c r="D23" s="204"/>
      <c r="E23" s="206" t="s">
        <v>1606</v>
      </c>
      <c r="F23" s="337" t="s">
        <v>1607</v>
      </c>
      <c r="G23" s="337"/>
      <c r="H23" s="337"/>
      <c r="I23" s="337"/>
      <c r="J23" s="337"/>
      <c r="K23" s="200"/>
    </row>
    <row r="24" spans="2:11" s="1" customFormat="1" ht="12.75" customHeight="1">
      <c r="B24" s="203"/>
      <c r="C24" s="204"/>
      <c r="D24" s="204"/>
      <c r="E24" s="204"/>
      <c r="F24" s="204"/>
      <c r="G24" s="204"/>
      <c r="H24" s="204"/>
      <c r="I24" s="204"/>
      <c r="J24" s="204"/>
      <c r="K24" s="200"/>
    </row>
    <row r="25" spans="2:11" s="1" customFormat="1" ht="15" customHeight="1">
      <c r="B25" s="203"/>
      <c r="C25" s="337" t="s">
        <v>1608</v>
      </c>
      <c r="D25" s="337"/>
      <c r="E25" s="337"/>
      <c r="F25" s="337"/>
      <c r="G25" s="337"/>
      <c r="H25" s="337"/>
      <c r="I25" s="337"/>
      <c r="J25" s="337"/>
      <c r="K25" s="200"/>
    </row>
    <row r="26" spans="2:11" s="1" customFormat="1" ht="15" customHeight="1">
      <c r="B26" s="203"/>
      <c r="C26" s="337" t="s">
        <v>1609</v>
      </c>
      <c r="D26" s="337"/>
      <c r="E26" s="337"/>
      <c r="F26" s="337"/>
      <c r="G26" s="337"/>
      <c r="H26" s="337"/>
      <c r="I26" s="337"/>
      <c r="J26" s="337"/>
      <c r="K26" s="200"/>
    </row>
    <row r="27" spans="2:11" s="1" customFormat="1" ht="15" customHeight="1">
      <c r="B27" s="203"/>
      <c r="C27" s="202"/>
      <c r="D27" s="337" t="s">
        <v>1610</v>
      </c>
      <c r="E27" s="337"/>
      <c r="F27" s="337"/>
      <c r="G27" s="337"/>
      <c r="H27" s="337"/>
      <c r="I27" s="337"/>
      <c r="J27" s="337"/>
      <c r="K27" s="200"/>
    </row>
    <row r="28" spans="2:11" s="1" customFormat="1" ht="15" customHeight="1">
      <c r="B28" s="203"/>
      <c r="C28" s="204"/>
      <c r="D28" s="337" t="s">
        <v>1611</v>
      </c>
      <c r="E28" s="337"/>
      <c r="F28" s="337"/>
      <c r="G28" s="337"/>
      <c r="H28" s="337"/>
      <c r="I28" s="337"/>
      <c r="J28" s="337"/>
      <c r="K28" s="200"/>
    </row>
    <row r="29" spans="2:11" s="1" customFormat="1" ht="12.75" customHeight="1">
      <c r="B29" s="203"/>
      <c r="C29" s="204"/>
      <c r="D29" s="204"/>
      <c r="E29" s="204"/>
      <c r="F29" s="204"/>
      <c r="G29" s="204"/>
      <c r="H29" s="204"/>
      <c r="I29" s="204"/>
      <c r="J29" s="204"/>
      <c r="K29" s="200"/>
    </row>
    <row r="30" spans="2:11" s="1" customFormat="1" ht="15" customHeight="1">
      <c r="B30" s="203"/>
      <c r="C30" s="204"/>
      <c r="D30" s="337" t="s">
        <v>1612</v>
      </c>
      <c r="E30" s="337"/>
      <c r="F30" s="337"/>
      <c r="G30" s="337"/>
      <c r="H30" s="337"/>
      <c r="I30" s="337"/>
      <c r="J30" s="337"/>
      <c r="K30" s="200"/>
    </row>
    <row r="31" spans="2:11" s="1" customFormat="1" ht="15" customHeight="1">
      <c r="B31" s="203"/>
      <c r="C31" s="204"/>
      <c r="D31" s="337" t="s">
        <v>1613</v>
      </c>
      <c r="E31" s="337"/>
      <c r="F31" s="337"/>
      <c r="G31" s="337"/>
      <c r="H31" s="337"/>
      <c r="I31" s="337"/>
      <c r="J31" s="337"/>
      <c r="K31" s="200"/>
    </row>
    <row r="32" spans="2:11" s="1" customFormat="1" ht="12.75" customHeight="1">
      <c r="B32" s="203"/>
      <c r="C32" s="204"/>
      <c r="D32" s="204"/>
      <c r="E32" s="204"/>
      <c r="F32" s="204"/>
      <c r="G32" s="204"/>
      <c r="H32" s="204"/>
      <c r="I32" s="204"/>
      <c r="J32" s="204"/>
      <c r="K32" s="200"/>
    </row>
    <row r="33" spans="2:11" s="1" customFormat="1" ht="15" customHeight="1">
      <c r="B33" s="203"/>
      <c r="C33" s="204"/>
      <c r="D33" s="337" t="s">
        <v>1614</v>
      </c>
      <c r="E33" s="337"/>
      <c r="F33" s="337"/>
      <c r="G33" s="337"/>
      <c r="H33" s="337"/>
      <c r="I33" s="337"/>
      <c r="J33" s="337"/>
      <c r="K33" s="200"/>
    </row>
    <row r="34" spans="2:11" s="1" customFormat="1" ht="15" customHeight="1">
      <c r="B34" s="203"/>
      <c r="C34" s="204"/>
      <c r="D34" s="337" t="s">
        <v>1615</v>
      </c>
      <c r="E34" s="337"/>
      <c r="F34" s="337"/>
      <c r="G34" s="337"/>
      <c r="H34" s="337"/>
      <c r="I34" s="337"/>
      <c r="J34" s="337"/>
      <c r="K34" s="200"/>
    </row>
    <row r="35" spans="2:11" s="1" customFormat="1" ht="15" customHeight="1">
      <c r="B35" s="203"/>
      <c r="C35" s="204"/>
      <c r="D35" s="337" t="s">
        <v>1616</v>
      </c>
      <c r="E35" s="337"/>
      <c r="F35" s="337"/>
      <c r="G35" s="337"/>
      <c r="H35" s="337"/>
      <c r="I35" s="337"/>
      <c r="J35" s="337"/>
      <c r="K35" s="200"/>
    </row>
    <row r="36" spans="2:11" s="1" customFormat="1" ht="15" customHeight="1">
      <c r="B36" s="203"/>
      <c r="C36" s="204"/>
      <c r="D36" s="202"/>
      <c r="E36" s="205" t="s">
        <v>130</v>
      </c>
      <c r="F36" s="202"/>
      <c r="G36" s="337" t="s">
        <v>1617</v>
      </c>
      <c r="H36" s="337"/>
      <c r="I36" s="337"/>
      <c r="J36" s="337"/>
      <c r="K36" s="200"/>
    </row>
    <row r="37" spans="2:11" s="1" customFormat="1" ht="30.75" customHeight="1">
      <c r="B37" s="203"/>
      <c r="C37" s="204"/>
      <c r="D37" s="202"/>
      <c r="E37" s="205" t="s">
        <v>1618</v>
      </c>
      <c r="F37" s="202"/>
      <c r="G37" s="337" t="s">
        <v>1619</v>
      </c>
      <c r="H37" s="337"/>
      <c r="I37" s="337"/>
      <c r="J37" s="337"/>
      <c r="K37" s="200"/>
    </row>
    <row r="38" spans="2:11" s="1" customFormat="1" ht="15" customHeight="1">
      <c r="B38" s="203"/>
      <c r="C38" s="204"/>
      <c r="D38" s="202"/>
      <c r="E38" s="205" t="s">
        <v>56</v>
      </c>
      <c r="F38" s="202"/>
      <c r="G38" s="337" t="s">
        <v>1620</v>
      </c>
      <c r="H38" s="337"/>
      <c r="I38" s="337"/>
      <c r="J38" s="337"/>
      <c r="K38" s="200"/>
    </row>
    <row r="39" spans="2:11" s="1" customFormat="1" ht="15" customHeight="1">
      <c r="B39" s="203"/>
      <c r="C39" s="204"/>
      <c r="D39" s="202"/>
      <c r="E39" s="205" t="s">
        <v>57</v>
      </c>
      <c r="F39" s="202"/>
      <c r="G39" s="337" t="s">
        <v>1621</v>
      </c>
      <c r="H39" s="337"/>
      <c r="I39" s="337"/>
      <c r="J39" s="337"/>
      <c r="K39" s="200"/>
    </row>
    <row r="40" spans="2:11" s="1" customFormat="1" ht="15" customHeight="1">
      <c r="B40" s="203"/>
      <c r="C40" s="204"/>
      <c r="D40" s="202"/>
      <c r="E40" s="205" t="s">
        <v>131</v>
      </c>
      <c r="F40" s="202"/>
      <c r="G40" s="337" t="s">
        <v>1622</v>
      </c>
      <c r="H40" s="337"/>
      <c r="I40" s="337"/>
      <c r="J40" s="337"/>
      <c r="K40" s="200"/>
    </row>
    <row r="41" spans="2:11" s="1" customFormat="1" ht="15" customHeight="1">
      <c r="B41" s="203"/>
      <c r="C41" s="204"/>
      <c r="D41" s="202"/>
      <c r="E41" s="205" t="s">
        <v>132</v>
      </c>
      <c r="F41" s="202"/>
      <c r="G41" s="337" t="s">
        <v>1623</v>
      </c>
      <c r="H41" s="337"/>
      <c r="I41" s="337"/>
      <c r="J41" s="337"/>
      <c r="K41" s="200"/>
    </row>
    <row r="42" spans="2:11" s="1" customFormat="1" ht="15" customHeight="1">
      <c r="B42" s="203"/>
      <c r="C42" s="204"/>
      <c r="D42" s="202"/>
      <c r="E42" s="205" t="s">
        <v>1624</v>
      </c>
      <c r="F42" s="202"/>
      <c r="G42" s="337" t="s">
        <v>1625</v>
      </c>
      <c r="H42" s="337"/>
      <c r="I42" s="337"/>
      <c r="J42" s="337"/>
      <c r="K42" s="200"/>
    </row>
    <row r="43" spans="2:11" s="1" customFormat="1" ht="15" customHeight="1">
      <c r="B43" s="203"/>
      <c r="C43" s="204"/>
      <c r="D43" s="202"/>
      <c r="E43" s="205"/>
      <c r="F43" s="202"/>
      <c r="G43" s="337" t="s">
        <v>1626</v>
      </c>
      <c r="H43" s="337"/>
      <c r="I43" s="337"/>
      <c r="J43" s="337"/>
      <c r="K43" s="200"/>
    </row>
    <row r="44" spans="2:11" s="1" customFormat="1" ht="15" customHeight="1">
      <c r="B44" s="203"/>
      <c r="C44" s="204"/>
      <c r="D44" s="202"/>
      <c r="E44" s="205" t="s">
        <v>1627</v>
      </c>
      <c r="F44" s="202"/>
      <c r="G44" s="337" t="s">
        <v>1628</v>
      </c>
      <c r="H44" s="337"/>
      <c r="I44" s="337"/>
      <c r="J44" s="337"/>
      <c r="K44" s="200"/>
    </row>
    <row r="45" spans="2:11" s="1" customFormat="1" ht="15" customHeight="1">
      <c r="B45" s="203"/>
      <c r="C45" s="204"/>
      <c r="D45" s="202"/>
      <c r="E45" s="205" t="s">
        <v>134</v>
      </c>
      <c r="F45" s="202"/>
      <c r="G45" s="337" t="s">
        <v>1629</v>
      </c>
      <c r="H45" s="337"/>
      <c r="I45" s="337"/>
      <c r="J45" s="337"/>
      <c r="K45" s="200"/>
    </row>
    <row r="46" spans="2:11" s="1" customFormat="1" ht="12.75" customHeight="1">
      <c r="B46" s="203"/>
      <c r="C46" s="204"/>
      <c r="D46" s="202"/>
      <c r="E46" s="202"/>
      <c r="F46" s="202"/>
      <c r="G46" s="202"/>
      <c r="H46" s="202"/>
      <c r="I46" s="202"/>
      <c r="J46" s="202"/>
      <c r="K46" s="200"/>
    </row>
    <row r="47" spans="2:11" s="1" customFormat="1" ht="15" customHeight="1">
      <c r="B47" s="203"/>
      <c r="C47" s="204"/>
      <c r="D47" s="337" t="s">
        <v>1630</v>
      </c>
      <c r="E47" s="337"/>
      <c r="F47" s="337"/>
      <c r="G47" s="337"/>
      <c r="H47" s="337"/>
      <c r="I47" s="337"/>
      <c r="J47" s="337"/>
      <c r="K47" s="200"/>
    </row>
    <row r="48" spans="2:11" s="1" customFormat="1" ht="15" customHeight="1">
      <c r="B48" s="203"/>
      <c r="C48" s="204"/>
      <c r="D48" s="204"/>
      <c r="E48" s="337" t="s">
        <v>1631</v>
      </c>
      <c r="F48" s="337"/>
      <c r="G48" s="337"/>
      <c r="H48" s="337"/>
      <c r="I48" s="337"/>
      <c r="J48" s="337"/>
      <c r="K48" s="200"/>
    </row>
    <row r="49" spans="2:11" s="1" customFormat="1" ht="15" customHeight="1">
      <c r="B49" s="203"/>
      <c r="C49" s="204"/>
      <c r="D49" s="204"/>
      <c r="E49" s="337" t="s">
        <v>1632</v>
      </c>
      <c r="F49" s="337"/>
      <c r="G49" s="337"/>
      <c r="H49" s="337"/>
      <c r="I49" s="337"/>
      <c r="J49" s="337"/>
      <c r="K49" s="200"/>
    </row>
    <row r="50" spans="2:11" s="1" customFormat="1" ht="15" customHeight="1">
      <c r="B50" s="203"/>
      <c r="C50" s="204"/>
      <c r="D50" s="204"/>
      <c r="E50" s="337" t="s">
        <v>1633</v>
      </c>
      <c r="F50" s="337"/>
      <c r="G50" s="337"/>
      <c r="H50" s="337"/>
      <c r="I50" s="337"/>
      <c r="J50" s="337"/>
      <c r="K50" s="200"/>
    </row>
    <row r="51" spans="2:11" s="1" customFormat="1" ht="15" customHeight="1">
      <c r="B51" s="203"/>
      <c r="C51" s="204"/>
      <c r="D51" s="337" t="s">
        <v>1634</v>
      </c>
      <c r="E51" s="337"/>
      <c r="F51" s="337"/>
      <c r="G51" s="337"/>
      <c r="H51" s="337"/>
      <c r="I51" s="337"/>
      <c r="J51" s="337"/>
      <c r="K51" s="200"/>
    </row>
    <row r="52" spans="2:11" s="1" customFormat="1" ht="25.5" customHeight="1">
      <c r="B52" s="199"/>
      <c r="C52" s="339" t="s">
        <v>1635</v>
      </c>
      <c r="D52" s="339"/>
      <c r="E52" s="339"/>
      <c r="F52" s="339"/>
      <c r="G52" s="339"/>
      <c r="H52" s="339"/>
      <c r="I52" s="339"/>
      <c r="J52" s="339"/>
      <c r="K52" s="200"/>
    </row>
    <row r="53" spans="2:11" s="1" customFormat="1" ht="5.25" customHeight="1">
      <c r="B53" s="199"/>
      <c r="C53" s="201"/>
      <c r="D53" s="201"/>
      <c r="E53" s="201"/>
      <c r="F53" s="201"/>
      <c r="G53" s="201"/>
      <c r="H53" s="201"/>
      <c r="I53" s="201"/>
      <c r="J53" s="201"/>
      <c r="K53" s="200"/>
    </row>
    <row r="54" spans="2:11" s="1" customFormat="1" ht="15" customHeight="1">
      <c r="B54" s="199"/>
      <c r="C54" s="337" t="s">
        <v>1636</v>
      </c>
      <c r="D54" s="337"/>
      <c r="E54" s="337"/>
      <c r="F54" s="337"/>
      <c r="G54" s="337"/>
      <c r="H54" s="337"/>
      <c r="I54" s="337"/>
      <c r="J54" s="337"/>
      <c r="K54" s="200"/>
    </row>
    <row r="55" spans="2:11" s="1" customFormat="1" ht="15" customHeight="1">
      <c r="B55" s="199"/>
      <c r="C55" s="337" t="s">
        <v>1637</v>
      </c>
      <c r="D55" s="337"/>
      <c r="E55" s="337"/>
      <c r="F55" s="337"/>
      <c r="G55" s="337"/>
      <c r="H55" s="337"/>
      <c r="I55" s="337"/>
      <c r="J55" s="337"/>
      <c r="K55" s="200"/>
    </row>
    <row r="56" spans="2:11" s="1" customFormat="1" ht="12.75" customHeight="1">
      <c r="B56" s="199"/>
      <c r="C56" s="202"/>
      <c r="D56" s="202"/>
      <c r="E56" s="202"/>
      <c r="F56" s="202"/>
      <c r="G56" s="202"/>
      <c r="H56" s="202"/>
      <c r="I56" s="202"/>
      <c r="J56" s="202"/>
      <c r="K56" s="200"/>
    </row>
    <row r="57" spans="2:11" s="1" customFormat="1" ht="15" customHeight="1">
      <c r="B57" s="199"/>
      <c r="C57" s="337" t="s">
        <v>1638</v>
      </c>
      <c r="D57" s="337"/>
      <c r="E57" s="337"/>
      <c r="F57" s="337"/>
      <c r="G57" s="337"/>
      <c r="H57" s="337"/>
      <c r="I57" s="337"/>
      <c r="J57" s="337"/>
      <c r="K57" s="200"/>
    </row>
    <row r="58" spans="2:11" s="1" customFormat="1" ht="15" customHeight="1">
      <c r="B58" s="199"/>
      <c r="C58" s="204"/>
      <c r="D58" s="337" t="s">
        <v>1639</v>
      </c>
      <c r="E58" s="337"/>
      <c r="F58" s="337"/>
      <c r="G58" s="337"/>
      <c r="H58" s="337"/>
      <c r="I58" s="337"/>
      <c r="J58" s="337"/>
      <c r="K58" s="200"/>
    </row>
    <row r="59" spans="2:11" s="1" customFormat="1" ht="15" customHeight="1">
      <c r="B59" s="199"/>
      <c r="C59" s="204"/>
      <c r="D59" s="337" t="s">
        <v>1640</v>
      </c>
      <c r="E59" s="337"/>
      <c r="F59" s="337"/>
      <c r="G59" s="337"/>
      <c r="H59" s="337"/>
      <c r="I59" s="337"/>
      <c r="J59" s="337"/>
      <c r="K59" s="200"/>
    </row>
    <row r="60" spans="2:11" s="1" customFormat="1" ht="15" customHeight="1">
      <c r="B60" s="199"/>
      <c r="C60" s="204"/>
      <c r="D60" s="337" t="s">
        <v>1641</v>
      </c>
      <c r="E60" s="337"/>
      <c r="F60" s="337"/>
      <c r="G60" s="337"/>
      <c r="H60" s="337"/>
      <c r="I60" s="337"/>
      <c r="J60" s="337"/>
      <c r="K60" s="200"/>
    </row>
    <row r="61" spans="2:11" s="1" customFormat="1" ht="15" customHeight="1">
      <c r="B61" s="199"/>
      <c r="C61" s="204"/>
      <c r="D61" s="337" t="s">
        <v>1642</v>
      </c>
      <c r="E61" s="337"/>
      <c r="F61" s="337"/>
      <c r="G61" s="337"/>
      <c r="H61" s="337"/>
      <c r="I61" s="337"/>
      <c r="J61" s="337"/>
      <c r="K61" s="200"/>
    </row>
    <row r="62" spans="2:11" s="1" customFormat="1" ht="15" customHeight="1">
      <c r="B62" s="199"/>
      <c r="C62" s="204"/>
      <c r="D62" s="341" t="s">
        <v>1643</v>
      </c>
      <c r="E62" s="341"/>
      <c r="F62" s="341"/>
      <c r="G62" s="341"/>
      <c r="H62" s="341"/>
      <c r="I62" s="341"/>
      <c r="J62" s="341"/>
      <c r="K62" s="200"/>
    </row>
    <row r="63" spans="2:11" s="1" customFormat="1" ht="15" customHeight="1">
      <c r="B63" s="199"/>
      <c r="C63" s="204"/>
      <c r="D63" s="337" t="s">
        <v>1644</v>
      </c>
      <c r="E63" s="337"/>
      <c r="F63" s="337"/>
      <c r="G63" s="337"/>
      <c r="H63" s="337"/>
      <c r="I63" s="337"/>
      <c r="J63" s="337"/>
      <c r="K63" s="200"/>
    </row>
    <row r="64" spans="2:11" s="1" customFormat="1" ht="12.75" customHeight="1">
      <c r="B64" s="199"/>
      <c r="C64" s="204"/>
      <c r="D64" s="204"/>
      <c r="E64" s="207"/>
      <c r="F64" s="204"/>
      <c r="G64" s="204"/>
      <c r="H64" s="204"/>
      <c r="I64" s="204"/>
      <c r="J64" s="204"/>
      <c r="K64" s="200"/>
    </row>
    <row r="65" spans="2:11" s="1" customFormat="1" ht="15" customHeight="1">
      <c r="B65" s="199"/>
      <c r="C65" s="204"/>
      <c r="D65" s="337" t="s">
        <v>1645</v>
      </c>
      <c r="E65" s="337"/>
      <c r="F65" s="337"/>
      <c r="G65" s="337"/>
      <c r="H65" s="337"/>
      <c r="I65" s="337"/>
      <c r="J65" s="337"/>
      <c r="K65" s="200"/>
    </row>
    <row r="66" spans="2:11" s="1" customFormat="1" ht="15" customHeight="1">
      <c r="B66" s="199"/>
      <c r="C66" s="204"/>
      <c r="D66" s="341" t="s">
        <v>1646</v>
      </c>
      <c r="E66" s="341"/>
      <c r="F66" s="341"/>
      <c r="G66" s="341"/>
      <c r="H66" s="341"/>
      <c r="I66" s="341"/>
      <c r="J66" s="341"/>
      <c r="K66" s="200"/>
    </row>
    <row r="67" spans="2:11" s="1" customFormat="1" ht="15" customHeight="1">
      <c r="B67" s="199"/>
      <c r="C67" s="204"/>
      <c r="D67" s="337" t="s">
        <v>1647</v>
      </c>
      <c r="E67" s="337"/>
      <c r="F67" s="337"/>
      <c r="G67" s="337"/>
      <c r="H67" s="337"/>
      <c r="I67" s="337"/>
      <c r="J67" s="337"/>
      <c r="K67" s="200"/>
    </row>
    <row r="68" spans="2:11" s="1" customFormat="1" ht="15" customHeight="1">
      <c r="B68" s="199"/>
      <c r="C68" s="204"/>
      <c r="D68" s="337" t="s">
        <v>1648</v>
      </c>
      <c r="E68" s="337"/>
      <c r="F68" s="337"/>
      <c r="G68" s="337"/>
      <c r="H68" s="337"/>
      <c r="I68" s="337"/>
      <c r="J68" s="337"/>
      <c r="K68" s="200"/>
    </row>
    <row r="69" spans="2:11" s="1" customFormat="1" ht="15" customHeight="1">
      <c r="B69" s="199"/>
      <c r="C69" s="204"/>
      <c r="D69" s="337" t="s">
        <v>1649</v>
      </c>
      <c r="E69" s="337"/>
      <c r="F69" s="337"/>
      <c r="G69" s="337"/>
      <c r="H69" s="337"/>
      <c r="I69" s="337"/>
      <c r="J69" s="337"/>
      <c r="K69" s="200"/>
    </row>
    <row r="70" spans="2:11" s="1" customFormat="1" ht="15" customHeight="1">
      <c r="B70" s="199"/>
      <c r="C70" s="204"/>
      <c r="D70" s="337" t="s">
        <v>1650</v>
      </c>
      <c r="E70" s="337"/>
      <c r="F70" s="337"/>
      <c r="G70" s="337"/>
      <c r="H70" s="337"/>
      <c r="I70" s="337"/>
      <c r="J70" s="337"/>
      <c r="K70" s="200"/>
    </row>
    <row r="71" spans="2:11" s="1" customFormat="1" ht="12.75" customHeight="1">
      <c r="B71" s="208"/>
      <c r="C71" s="209"/>
      <c r="D71" s="209"/>
      <c r="E71" s="209"/>
      <c r="F71" s="209"/>
      <c r="G71" s="209"/>
      <c r="H71" s="209"/>
      <c r="I71" s="209"/>
      <c r="J71" s="209"/>
      <c r="K71" s="210"/>
    </row>
    <row r="72" spans="2:11" s="1" customFormat="1" ht="18.75" customHeight="1">
      <c r="B72" s="211"/>
      <c r="C72" s="211"/>
      <c r="D72" s="211"/>
      <c r="E72" s="211"/>
      <c r="F72" s="211"/>
      <c r="G72" s="211"/>
      <c r="H72" s="211"/>
      <c r="I72" s="211"/>
      <c r="J72" s="211"/>
      <c r="K72" s="212"/>
    </row>
    <row r="73" spans="2:11" s="1" customFormat="1" ht="18.75" customHeight="1">
      <c r="B73" s="212"/>
      <c r="C73" s="212"/>
      <c r="D73" s="212"/>
      <c r="E73" s="212"/>
      <c r="F73" s="212"/>
      <c r="G73" s="212"/>
      <c r="H73" s="212"/>
      <c r="I73" s="212"/>
      <c r="J73" s="212"/>
      <c r="K73" s="212"/>
    </row>
    <row r="74" spans="2:11" s="1" customFormat="1" ht="7.5" customHeight="1">
      <c r="B74" s="213"/>
      <c r="C74" s="214"/>
      <c r="D74" s="214"/>
      <c r="E74" s="214"/>
      <c r="F74" s="214"/>
      <c r="G74" s="214"/>
      <c r="H74" s="214"/>
      <c r="I74" s="214"/>
      <c r="J74" s="214"/>
      <c r="K74" s="215"/>
    </row>
    <row r="75" spans="2:11" s="1" customFormat="1" ht="45" customHeight="1">
      <c r="B75" s="216"/>
      <c r="C75" s="340" t="s">
        <v>1651</v>
      </c>
      <c r="D75" s="340"/>
      <c r="E75" s="340"/>
      <c r="F75" s="340"/>
      <c r="G75" s="340"/>
      <c r="H75" s="340"/>
      <c r="I75" s="340"/>
      <c r="J75" s="340"/>
      <c r="K75" s="217"/>
    </row>
    <row r="76" spans="2:11" s="1" customFormat="1" ht="17.25" customHeight="1">
      <c r="B76" s="216"/>
      <c r="C76" s="218" t="s">
        <v>1652</v>
      </c>
      <c r="D76" s="218"/>
      <c r="E76" s="218"/>
      <c r="F76" s="218" t="s">
        <v>1653</v>
      </c>
      <c r="G76" s="219"/>
      <c r="H76" s="218" t="s">
        <v>57</v>
      </c>
      <c r="I76" s="218" t="s">
        <v>60</v>
      </c>
      <c r="J76" s="218" t="s">
        <v>1654</v>
      </c>
      <c r="K76" s="217"/>
    </row>
    <row r="77" spans="2:11" s="1" customFormat="1" ht="17.25" customHeight="1">
      <c r="B77" s="216"/>
      <c r="C77" s="220" t="s">
        <v>1655</v>
      </c>
      <c r="D77" s="220"/>
      <c r="E77" s="220"/>
      <c r="F77" s="221" t="s">
        <v>1656</v>
      </c>
      <c r="G77" s="222"/>
      <c r="H77" s="220"/>
      <c r="I77" s="220"/>
      <c r="J77" s="220" t="s">
        <v>1657</v>
      </c>
      <c r="K77" s="217"/>
    </row>
    <row r="78" spans="2:11" s="1" customFormat="1" ht="5.25" customHeight="1">
      <c r="B78" s="216"/>
      <c r="C78" s="223"/>
      <c r="D78" s="223"/>
      <c r="E78" s="223"/>
      <c r="F78" s="223"/>
      <c r="G78" s="224"/>
      <c r="H78" s="223"/>
      <c r="I78" s="223"/>
      <c r="J78" s="223"/>
      <c r="K78" s="217"/>
    </row>
    <row r="79" spans="2:11" s="1" customFormat="1" ht="15" customHeight="1">
      <c r="B79" s="216"/>
      <c r="C79" s="205" t="s">
        <v>56</v>
      </c>
      <c r="D79" s="225"/>
      <c r="E79" s="225"/>
      <c r="F79" s="226" t="s">
        <v>1658</v>
      </c>
      <c r="G79" s="227"/>
      <c r="H79" s="205" t="s">
        <v>1659</v>
      </c>
      <c r="I79" s="205" t="s">
        <v>1660</v>
      </c>
      <c r="J79" s="205">
        <v>20</v>
      </c>
      <c r="K79" s="217"/>
    </row>
    <row r="80" spans="2:11" s="1" customFormat="1" ht="15" customHeight="1">
      <c r="B80" s="216"/>
      <c r="C80" s="205" t="s">
        <v>1661</v>
      </c>
      <c r="D80" s="205"/>
      <c r="E80" s="205"/>
      <c r="F80" s="226" t="s">
        <v>1658</v>
      </c>
      <c r="G80" s="227"/>
      <c r="H80" s="205" t="s">
        <v>1662</v>
      </c>
      <c r="I80" s="205" t="s">
        <v>1660</v>
      </c>
      <c r="J80" s="205">
        <v>120</v>
      </c>
      <c r="K80" s="217"/>
    </row>
    <row r="81" spans="2:11" s="1" customFormat="1" ht="15" customHeight="1">
      <c r="B81" s="228"/>
      <c r="C81" s="205" t="s">
        <v>1663</v>
      </c>
      <c r="D81" s="205"/>
      <c r="E81" s="205"/>
      <c r="F81" s="226" t="s">
        <v>1664</v>
      </c>
      <c r="G81" s="227"/>
      <c r="H81" s="205" t="s">
        <v>1665</v>
      </c>
      <c r="I81" s="205" t="s">
        <v>1660</v>
      </c>
      <c r="J81" s="205">
        <v>50</v>
      </c>
      <c r="K81" s="217"/>
    </row>
    <row r="82" spans="2:11" s="1" customFormat="1" ht="15" customHeight="1">
      <c r="B82" s="228"/>
      <c r="C82" s="205" t="s">
        <v>1666</v>
      </c>
      <c r="D82" s="205"/>
      <c r="E82" s="205"/>
      <c r="F82" s="226" t="s">
        <v>1658</v>
      </c>
      <c r="G82" s="227"/>
      <c r="H82" s="205" t="s">
        <v>1667</v>
      </c>
      <c r="I82" s="205" t="s">
        <v>1668</v>
      </c>
      <c r="J82" s="205"/>
      <c r="K82" s="217"/>
    </row>
    <row r="83" spans="2:11" s="1" customFormat="1" ht="15" customHeight="1">
      <c r="B83" s="228"/>
      <c r="C83" s="229" t="s">
        <v>1669</v>
      </c>
      <c r="D83" s="229"/>
      <c r="E83" s="229"/>
      <c r="F83" s="230" t="s">
        <v>1664</v>
      </c>
      <c r="G83" s="229"/>
      <c r="H83" s="229" t="s">
        <v>1670</v>
      </c>
      <c r="I83" s="229" t="s">
        <v>1660</v>
      </c>
      <c r="J83" s="229">
        <v>15</v>
      </c>
      <c r="K83" s="217"/>
    </row>
    <row r="84" spans="2:11" s="1" customFormat="1" ht="15" customHeight="1">
      <c r="B84" s="228"/>
      <c r="C84" s="229" t="s">
        <v>1671</v>
      </c>
      <c r="D84" s="229"/>
      <c r="E84" s="229"/>
      <c r="F84" s="230" t="s">
        <v>1664</v>
      </c>
      <c r="G84" s="229"/>
      <c r="H84" s="229" t="s">
        <v>1672</v>
      </c>
      <c r="I84" s="229" t="s">
        <v>1660</v>
      </c>
      <c r="J84" s="229">
        <v>15</v>
      </c>
      <c r="K84" s="217"/>
    </row>
    <row r="85" spans="2:11" s="1" customFormat="1" ht="15" customHeight="1">
      <c r="B85" s="228"/>
      <c r="C85" s="229" t="s">
        <v>1673</v>
      </c>
      <c r="D85" s="229"/>
      <c r="E85" s="229"/>
      <c r="F85" s="230" t="s">
        <v>1664</v>
      </c>
      <c r="G85" s="229"/>
      <c r="H85" s="229" t="s">
        <v>1674</v>
      </c>
      <c r="I85" s="229" t="s">
        <v>1660</v>
      </c>
      <c r="J85" s="229">
        <v>20</v>
      </c>
      <c r="K85" s="217"/>
    </row>
    <row r="86" spans="2:11" s="1" customFormat="1" ht="15" customHeight="1">
      <c r="B86" s="228"/>
      <c r="C86" s="229" t="s">
        <v>1675</v>
      </c>
      <c r="D86" s="229"/>
      <c r="E86" s="229"/>
      <c r="F86" s="230" t="s">
        <v>1664</v>
      </c>
      <c r="G86" s="229"/>
      <c r="H86" s="229" t="s">
        <v>1676</v>
      </c>
      <c r="I86" s="229" t="s">
        <v>1660</v>
      </c>
      <c r="J86" s="229">
        <v>20</v>
      </c>
      <c r="K86" s="217"/>
    </row>
    <row r="87" spans="2:11" s="1" customFormat="1" ht="15" customHeight="1">
      <c r="B87" s="228"/>
      <c r="C87" s="205" t="s">
        <v>1677</v>
      </c>
      <c r="D87" s="205"/>
      <c r="E87" s="205"/>
      <c r="F87" s="226" t="s">
        <v>1664</v>
      </c>
      <c r="G87" s="227"/>
      <c r="H87" s="205" t="s">
        <v>1678</v>
      </c>
      <c r="I87" s="205" t="s">
        <v>1660</v>
      </c>
      <c r="J87" s="205">
        <v>50</v>
      </c>
      <c r="K87" s="217"/>
    </row>
    <row r="88" spans="2:11" s="1" customFormat="1" ht="15" customHeight="1">
      <c r="B88" s="228"/>
      <c r="C88" s="205" t="s">
        <v>1679</v>
      </c>
      <c r="D88" s="205"/>
      <c r="E88" s="205"/>
      <c r="F88" s="226" t="s">
        <v>1664</v>
      </c>
      <c r="G88" s="227"/>
      <c r="H88" s="205" t="s">
        <v>1680</v>
      </c>
      <c r="I88" s="205" t="s">
        <v>1660</v>
      </c>
      <c r="J88" s="205">
        <v>20</v>
      </c>
      <c r="K88" s="217"/>
    </row>
    <row r="89" spans="2:11" s="1" customFormat="1" ht="15" customHeight="1">
      <c r="B89" s="228"/>
      <c r="C89" s="205" t="s">
        <v>1681</v>
      </c>
      <c r="D89" s="205"/>
      <c r="E89" s="205"/>
      <c r="F89" s="226" t="s">
        <v>1664</v>
      </c>
      <c r="G89" s="227"/>
      <c r="H89" s="205" t="s">
        <v>1682</v>
      </c>
      <c r="I89" s="205" t="s">
        <v>1660</v>
      </c>
      <c r="J89" s="205">
        <v>20</v>
      </c>
      <c r="K89" s="217"/>
    </row>
    <row r="90" spans="2:11" s="1" customFormat="1" ht="15" customHeight="1">
      <c r="B90" s="228"/>
      <c r="C90" s="205" t="s">
        <v>1683</v>
      </c>
      <c r="D90" s="205"/>
      <c r="E90" s="205"/>
      <c r="F90" s="226" t="s">
        <v>1664</v>
      </c>
      <c r="G90" s="227"/>
      <c r="H90" s="205" t="s">
        <v>1684</v>
      </c>
      <c r="I90" s="205" t="s">
        <v>1660</v>
      </c>
      <c r="J90" s="205">
        <v>50</v>
      </c>
      <c r="K90" s="217"/>
    </row>
    <row r="91" spans="2:11" s="1" customFormat="1" ht="15" customHeight="1">
      <c r="B91" s="228"/>
      <c r="C91" s="205" t="s">
        <v>1685</v>
      </c>
      <c r="D91" s="205"/>
      <c r="E91" s="205"/>
      <c r="F91" s="226" t="s">
        <v>1664</v>
      </c>
      <c r="G91" s="227"/>
      <c r="H91" s="205" t="s">
        <v>1685</v>
      </c>
      <c r="I91" s="205" t="s">
        <v>1660</v>
      </c>
      <c r="J91" s="205">
        <v>50</v>
      </c>
      <c r="K91" s="217"/>
    </row>
    <row r="92" spans="2:11" s="1" customFormat="1" ht="15" customHeight="1">
      <c r="B92" s="228"/>
      <c r="C92" s="205" t="s">
        <v>1686</v>
      </c>
      <c r="D92" s="205"/>
      <c r="E92" s="205"/>
      <c r="F92" s="226" t="s">
        <v>1664</v>
      </c>
      <c r="G92" s="227"/>
      <c r="H92" s="205" t="s">
        <v>1687</v>
      </c>
      <c r="I92" s="205" t="s">
        <v>1660</v>
      </c>
      <c r="J92" s="205">
        <v>255</v>
      </c>
      <c r="K92" s="217"/>
    </row>
    <row r="93" spans="2:11" s="1" customFormat="1" ht="15" customHeight="1">
      <c r="B93" s="228"/>
      <c r="C93" s="205" t="s">
        <v>1688</v>
      </c>
      <c r="D93" s="205"/>
      <c r="E93" s="205"/>
      <c r="F93" s="226" t="s">
        <v>1658</v>
      </c>
      <c r="G93" s="227"/>
      <c r="H93" s="205" t="s">
        <v>1689</v>
      </c>
      <c r="I93" s="205" t="s">
        <v>1690</v>
      </c>
      <c r="J93" s="205"/>
      <c r="K93" s="217"/>
    </row>
    <row r="94" spans="2:11" s="1" customFormat="1" ht="15" customHeight="1">
      <c r="B94" s="228"/>
      <c r="C94" s="205" t="s">
        <v>1691</v>
      </c>
      <c r="D94" s="205"/>
      <c r="E94" s="205"/>
      <c r="F94" s="226" t="s">
        <v>1658</v>
      </c>
      <c r="G94" s="227"/>
      <c r="H94" s="205" t="s">
        <v>1692</v>
      </c>
      <c r="I94" s="205" t="s">
        <v>1693</v>
      </c>
      <c r="J94" s="205"/>
      <c r="K94" s="217"/>
    </row>
    <row r="95" spans="2:11" s="1" customFormat="1" ht="15" customHeight="1">
      <c r="B95" s="228"/>
      <c r="C95" s="205" t="s">
        <v>1694</v>
      </c>
      <c r="D95" s="205"/>
      <c r="E95" s="205"/>
      <c r="F95" s="226" t="s">
        <v>1658</v>
      </c>
      <c r="G95" s="227"/>
      <c r="H95" s="205" t="s">
        <v>1694</v>
      </c>
      <c r="I95" s="205" t="s">
        <v>1693</v>
      </c>
      <c r="J95" s="205"/>
      <c r="K95" s="217"/>
    </row>
    <row r="96" spans="2:11" s="1" customFormat="1" ht="15" customHeight="1">
      <c r="B96" s="228"/>
      <c r="C96" s="205" t="s">
        <v>41</v>
      </c>
      <c r="D96" s="205"/>
      <c r="E96" s="205"/>
      <c r="F96" s="226" t="s">
        <v>1658</v>
      </c>
      <c r="G96" s="227"/>
      <c r="H96" s="205" t="s">
        <v>1695</v>
      </c>
      <c r="I96" s="205" t="s">
        <v>1693</v>
      </c>
      <c r="J96" s="205"/>
      <c r="K96" s="217"/>
    </row>
    <row r="97" spans="2:11" s="1" customFormat="1" ht="15" customHeight="1">
      <c r="B97" s="228"/>
      <c r="C97" s="205" t="s">
        <v>51</v>
      </c>
      <c r="D97" s="205"/>
      <c r="E97" s="205"/>
      <c r="F97" s="226" t="s">
        <v>1658</v>
      </c>
      <c r="G97" s="227"/>
      <c r="H97" s="205" t="s">
        <v>1696</v>
      </c>
      <c r="I97" s="205" t="s">
        <v>1693</v>
      </c>
      <c r="J97" s="205"/>
      <c r="K97" s="217"/>
    </row>
    <row r="98" spans="2:11" s="1" customFormat="1" ht="15" customHeight="1">
      <c r="B98" s="231"/>
      <c r="C98" s="232"/>
      <c r="D98" s="232"/>
      <c r="E98" s="232"/>
      <c r="F98" s="232"/>
      <c r="G98" s="232"/>
      <c r="H98" s="232"/>
      <c r="I98" s="232"/>
      <c r="J98" s="232"/>
      <c r="K98" s="233"/>
    </row>
    <row r="99" spans="2:11" s="1" customFormat="1" ht="18.75" customHeight="1">
      <c r="B99" s="234"/>
      <c r="C99" s="235"/>
      <c r="D99" s="235"/>
      <c r="E99" s="235"/>
      <c r="F99" s="235"/>
      <c r="G99" s="235"/>
      <c r="H99" s="235"/>
      <c r="I99" s="235"/>
      <c r="J99" s="235"/>
      <c r="K99" s="234"/>
    </row>
    <row r="100" spans="2:11" s="1" customFormat="1" ht="18.75" customHeight="1">
      <c r="B100" s="212"/>
      <c r="C100" s="212"/>
      <c r="D100" s="212"/>
      <c r="E100" s="212"/>
      <c r="F100" s="212"/>
      <c r="G100" s="212"/>
      <c r="H100" s="212"/>
      <c r="I100" s="212"/>
      <c r="J100" s="212"/>
      <c r="K100" s="212"/>
    </row>
    <row r="101" spans="2:11" s="1" customFormat="1" ht="7.5" customHeight="1">
      <c r="B101" s="213"/>
      <c r="C101" s="214"/>
      <c r="D101" s="214"/>
      <c r="E101" s="214"/>
      <c r="F101" s="214"/>
      <c r="G101" s="214"/>
      <c r="H101" s="214"/>
      <c r="I101" s="214"/>
      <c r="J101" s="214"/>
      <c r="K101" s="215"/>
    </row>
    <row r="102" spans="2:11" s="1" customFormat="1" ht="45" customHeight="1">
      <c r="B102" s="216"/>
      <c r="C102" s="340" t="s">
        <v>1697</v>
      </c>
      <c r="D102" s="340"/>
      <c r="E102" s="340"/>
      <c r="F102" s="340"/>
      <c r="G102" s="340"/>
      <c r="H102" s="340"/>
      <c r="I102" s="340"/>
      <c r="J102" s="340"/>
      <c r="K102" s="217"/>
    </row>
    <row r="103" spans="2:11" s="1" customFormat="1" ht="17.25" customHeight="1">
      <c r="B103" s="216"/>
      <c r="C103" s="218" t="s">
        <v>1652</v>
      </c>
      <c r="D103" s="218"/>
      <c r="E103" s="218"/>
      <c r="F103" s="218" t="s">
        <v>1653</v>
      </c>
      <c r="G103" s="219"/>
      <c r="H103" s="218" t="s">
        <v>57</v>
      </c>
      <c r="I103" s="218" t="s">
        <v>60</v>
      </c>
      <c r="J103" s="218" t="s">
        <v>1654</v>
      </c>
      <c r="K103" s="217"/>
    </row>
    <row r="104" spans="2:11" s="1" customFormat="1" ht="17.25" customHeight="1">
      <c r="B104" s="216"/>
      <c r="C104" s="220" t="s">
        <v>1655</v>
      </c>
      <c r="D104" s="220"/>
      <c r="E104" s="220"/>
      <c r="F104" s="221" t="s">
        <v>1656</v>
      </c>
      <c r="G104" s="222"/>
      <c r="H104" s="220"/>
      <c r="I104" s="220"/>
      <c r="J104" s="220" t="s">
        <v>1657</v>
      </c>
      <c r="K104" s="217"/>
    </row>
    <row r="105" spans="2:11" s="1" customFormat="1" ht="5.25" customHeight="1">
      <c r="B105" s="216"/>
      <c r="C105" s="218"/>
      <c r="D105" s="218"/>
      <c r="E105" s="218"/>
      <c r="F105" s="218"/>
      <c r="G105" s="236"/>
      <c r="H105" s="218"/>
      <c r="I105" s="218"/>
      <c r="J105" s="218"/>
      <c r="K105" s="217"/>
    </row>
    <row r="106" spans="2:11" s="1" customFormat="1" ht="15" customHeight="1">
      <c r="B106" s="216"/>
      <c r="C106" s="205" t="s">
        <v>56</v>
      </c>
      <c r="D106" s="225"/>
      <c r="E106" s="225"/>
      <c r="F106" s="226" t="s">
        <v>1658</v>
      </c>
      <c r="G106" s="205"/>
      <c r="H106" s="205" t="s">
        <v>1698</v>
      </c>
      <c r="I106" s="205" t="s">
        <v>1660</v>
      </c>
      <c r="J106" s="205">
        <v>20</v>
      </c>
      <c r="K106" s="217"/>
    </row>
    <row r="107" spans="2:11" s="1" customFormat="1" ht="15" customHeight="1">
      <c r="B107" s="216"/>
      <c r="C107" s="205" t="s">
        <v>1661</v>
      </c>
      <c r="D107" s="205"/>
      <c r="E107" s="205"/>
      <c r="F107" s="226" t="s">
        <v>1658</v>
      </c>
      <c r="G107" s="205"/>
      <c r="H107" s="205" t="s">
        <v>1698</v>
      </c>
      <c r="I107" s="205" t="s">
        <v>1660</v>
      </c>
      <c r="J107" s="205">
        <v>120</v>
      </c>
      <c r="K107" s="217"/>
    </row>
    <row r="108" spans="2:11" s="1" customFormat="1" ht="15" customHeight="1">
      <c r="B108" s="228"/>
      <c r="C108" s="205" t="s">
        <v>1663</v>
      </c>
      <c r="D108" s="205"/>
      <c r="E108" s="205"/>
      <c r="F108" s="226" t="s">
        <v>1664</v>
      </c>
      <c r="G108" s="205"/>
      <c r="H108" s="205" t="s">
        <v>1698</v>
      </c>
      <c r="I108" s="205" t="s">
        <v>1660</v>
      </c>
      <c r="J108" s="205">
        <v>50</v>
      </c>
      <c r="K108" s="217"/>
    </row>
    <row r="109" spans="2:11" s="1" customFormat="1" ht="15" customHeight="1">
      <c r="B109" s="228"/>
      <c r="C109" s="205" t="s">
        <v>1666</v>
      </c>
      <c r="D109" s="205"/>
      <c r="E109" s="205"/>
      <c r="F109" s="226" t="s">
        <v>1658</v>
      </c>
      <c r="G109" s="205"/>
      <c r="H109" s="205" t="s">
        <v>1698</v>
      </c>
      <c r="I109" s="205" t="s">
        <v>1668</v>
      </c>
      <c r="J109" s="205"/>
      <c r="K109" s="217"/>
    </row>
    <row r="110" spans="2:11" s="1" customFormat="1" ht="15" customHeight="1">
      <c r="B110" s="228"/>
      <c r="C110" s="205" t="s">
        <v>1677</v>
      </c>
      <c r="D110" s="205"/>
      <c r="E110" s="205"/>
      <c r="F110" s="226" t="s">
        <v>1664</v>
      </c>
      <c r="G110" s="205"/>
      <c r="H110" s="205" t="s">
        <v>1698</v>
      </c>
      <c r="I110" s="205" t="s">
        <v>1660</v>
      </c>
      <c r="J110" s="205">
        <v>50</v>
      </c>
      <c r="K110" s="217"/>
    </row>
    <row r="111" spans="2:11" s="1" customFormat="1" ht="15" customHeight="1">
      <c r="B111" s="228"/>
      <c r="C111" s="205" t="s">
        <v>1685</v>
      </c>
      <c r="D111" s="205"/>
      <c r="E111" s="205"/>
      <c r="F111" s="226" t="s">
        <v>1664</v>
      </c>
      <c r="G111" s="205"/>
      <c r="H111" s="205" t="s">
        <v>1698</v>
      </c>
      <c r="I111" s="205" t="s">
        <v>1660</v>
      </c>
      <c r="J111" s="205">
        <v>50</v>
      </c>
      <c r="K111" s="217"/>
    </row>
    <row r="112" spans="2:11" s="1" customFormat="1" ht="15" customHeight="1">
      <c r="B112" s="228"/>
      <c r="C112" s="205" t="s">
        <v>1683</v>
      </c>
      <c r="D112" s="205"/>
      <c r="E112" s="205"/>
      <c r="F112" s="226" t="s">
        <v>1664</v>
      </c>
      <c r="G112" s="205"/>
      <c r="H112" s="205" t="s">
        <v>1698</v>
      </c>
      <c r="I112" s="205" t="s">
        <v>1660</v>
      </c>
      <c r="J112" s="205">
        <v>50</v>
      </c>
      <c r="K112" s="217"/>
    </row>
    <row r="113" spans="2:11" s="1" customFormat="1" ht="15" customHeight="1">
      <c r="B113" s="228"/>
      <c r="C113" s="205" t="s">
        <v>56</v>
      </c>
      <c r="D113" s="205"/>
      <c r="E113" s="205"/>
      <c r="F113" s="226" t="s">
        <v>1658</v>
      </c>
      <c r="G113" s="205"/>
      <c r="H113" s="205" t="s">
        <v>1699</v>
      </c>
      <c r="I113" s="205" t="s">
        <v>1660</v>
      </c>
      <c r="J113" s="205">
        <v>20</v>
      </c>
      <c r="K113" s="217"/>
    </row>
    <row r="114" spans="2:11" s="1" customFormat="1" ht="15" customHeight="1">
      <c r="B114" s="228"/>
      <c r="C114" s="205" t="s">
        <v>1700</v>
      </c>
      <c r="D114" s="205"/>
      <c r="E114" s="205"/>
      <c r="F114" s="226" t="s">
        <v>1658</v>
      </c>
      <c r="G114" s="205"/>
      <c r="H114" s="205" t="s">
        <v>1701</v>
      </c>
      <c r="I114" s="205" t="s">
        <v>1660</v>
      </c>
      <c r="J114" s="205">
        <v>120</v>
      </c>
      <c r="K114" s="217"/>
    </row>
    <row r="115" spans="2:11" s="1" customFormat="1" ht="15" customHeight="1">
      <c r="B115" s="228"/>
      <c r="C115" s="205" t="s">
        <v>41</v>
      </c>
      <c r="D115" s="205"/>
      <c r="E115" s="205"/>
      <c r="F115" s="226" t="s">
        <v>1658</v>
      </c>
      <c r="G115" s="205"/>
      <c r="H115" s="205" t="s">
        <v>1702</v>
      </c>
      <c r="I115" s="205" t="s">
        <v>1693</v>
      </c>
      <c r="J115" s="205"/>
      <c r="K115" s="217"/>
    </row>
    <row r="116" spans="2:11" s="1" customFormat="1" ht="15" customHeight="1">
      <c r="B116" s="228"/>
      <c r="C116" s="205" t="s">
        <v>51</v>
      </c>
      <c r="D116" s="205"/>
      <c r="E116" s="205"/>
      <c r="F116" s="226" t="s">
        <v>1658</v>
      </c>
      <c r="G116" s="205"/>
      <c r="H116" s="205" t="s">
        <v>1703</v>
      </c>
      <c r="I116" s="205" t="s">
        <v>1693</v>
      </c>
      <c r="J116" s="205"/>
      <c r="K116" s="217"/>
    </row>
    <row r="117" spans="2:11" s="1" customFormat="1" ht="15" customHeight="1">
      <c r="B117" s="228"/>
      <c r="C117" s="205" t="s">
        <v>60</v>
      </c>
      <c r="D117" s="205"/>
      <c r="E117" s="205"/>
      <c r="F117" s="226" t="s">
        <v>1658</v>
      </c>
      <c r="G117" s="205"/>
      <c r="H117" s="205" t="s">
        <v>1704</v>
      </c>
      <c r="I117" s="205" t="s">
        <v>1705</v>
      </c>
      <c r="J117" s="205"/>
      <c r="K117" s="217"/>
    </row>
    <row r="118" spans="2:11" s="1" customFormat="1" ht="15" customHeight="1">
      <c r="B118" s="231"/>
      <c r="C118" s="237"/>
      <c r="D118" s="237"/>
      <c r="E118" s="237"/>
      <c r="F118" s="237"/>
      <c r="G118" s="237"/>
      <c r="H118" s="237"/>
      <c r="I118" s="237"/>
      <c r="J118" s="237"/>
      <c r="K118" s="233"/>
    </row>
    <row r="119" spans="2:11" s="1" customFormat="1" ht="18.75" customHeight="1">
      <c r="B119" s="238"/>
      <c r="C119" s="239"/>
      <c r="D119" s="239"/>
      <c r="E119" s="239"/>
      <c r="F119" s="240"/>
      <c r="G119" s="239"/>
      <c r="H119" s="239"/>
      <c r="I119" s="239"/>
      <c r="J119" s="239"/>
      <c r="K119" s="238"/>
    </row>
    <row r="120" spans="2:11" s="1" customFormat="1" ht="18.75" customHeight="1">
      <c r="B120" s="212"/>
      <c r="C120" s="212"/>
      <c r="D120" s="212"/>
      <c r="E120" s="212"/>
      <c r="F120" s="212"/>
      <c r="G120" s="212"/>
      <c r="H120" s="212"/>
      <c r="I120" s="212"/>
      <c r="J120" s="212"/>
      <c r="K120" s="212"/>
    </row>
    <row r="121" spans="2:11" s="1" customFormat="1" ht="7.5" customHeight="1">
      <c r="B121" s="241"/>
      <c r="C121" s="242"/>
      <c r="D121" s="242"/>
      <c r="E121" s="242"/>
      <c r="F121" s="242"/>
      <c r="G121" s="242"/>
      <c r="H121" s="242"/>
      <c r="I121" s="242"/>
      <c r="J121" s="242"/>
      <c r="K121" s="243"/>
    </row>
    <row r="122" spans="2:11" s="1" customFormat="1" ht="45" customHeight="1">
      <c r="B122" s="244"/>
      <c r="C122" s="338" t="s">
        <v>1706</v>
      </c>
      <c r="D122" s="338"/>
      <c r="E122" s="338"/>
      <c r="F122" s="338"/>
      <c r="G122" s="338"/>
      <c r="H122" s="338"/>
      <c r="I122" s="338"/>
      <c r="J122" s="338"/>
      <c r="K122" s="245"/>
    </row>
    <row r="123" spans="2:11" s="1" customFormat="1" ht="17.25" customHeight="1">
      <c r="B123" s="246"/>
      <c r="C123" s="218" t="s">
        <v>1652</v>
      </c>
      <c r="D123" s="218"/>
      <c r="E123" s="218"/>
      <c r="F123" s="218" t="s">
        <v>1653</v>
      </c>
      <c r="G123" s="219"/>
      <c r="H123" s="218" t="s">
        <v>57</v>
      </c>
      <c r="I123" s="218" t="s">
        <v>60</v>
      </c>
      <c r="J123" s="218" t="s">
        <v>1654</v>
      </c>
      <c r="K123" s="247"/>
    </row>
    <row r="124" spans="2:11" s="1" customFormat="1" ht="17.25" customHeight="1">
      <c r="B124" s="246"/>
      <c r="C124" s="220" t="s">
        <v>1655</v>
      </c>
      <c r="D124" s="220"/>
      <c r="E124" s="220"/>
      <c r="F124" s="221" t="s">
        <v>1656</v>
      </c>
      <c r="G124" s="222"/>
      <c r="H124" s="220"/>
      <c r="I124" s="220"/>
      <c r="J124" s="220" t="s">
        <v>1657</v>
      </c>
      <c r="K124" s="247"/>
    </row>
    <row r="125" spans="2:11" s="1" customFormat="1" ht="5.25" customHeight="1">
      <c r="B125" s="248"/>
      <c r="C125" s="223"/>
      <c r="D125" s="223"/>
      <c r="E125" s="223"/>
      <c r="F125" s="223"/>
      <c r="G125" s="249"/>
      <c r="H125" s="223"/>
      <c r="I125" s="223"/>
      <c r="J125" s="223"/>
      <c r="K125" s="250"/>
    </row>
    <row r="126" spans="2:11" s="1" customFormat="1" ht="15" customHeight="1">
      <c r="B126" s="248"/>
      <c r="C126" s="205" t="s">
        <v>1661</v>
      </c>
      <c r="D126" s="225"/>
      <c r="E126" s="225"/>
      <c r="F126" s="226" t="s">
        <v>1658</v>
      </c>
      <c r="G126" s="205"/>
      <c r="H126" s="205" t="s">
        <v>1698</v>
      </c>
      <c r="I126" s="205" t="s">
        <v>1660</v>
      </c>
      <c r="J126" s="205">
        <v>120</v>
      </c>
      <c r="K126" s="251"/>
    </row>
    <row r="127" spans="2:11" s="1" customFormat="1" ht="15" customHeight="1">
      <c r="B127" s="248"/>
      <c r="C127" s="205" t="s">
        <v>1707</v>
      </c>
      <c r="D127" s="205"/>
      <c r="E127" s="205"/>
      <c r="F127" s="226" t="s">
        <v>1658</v>
      </c>
      <c r="G127" s="205"/>
      <c r="H127" s="205" t="s">
        <v>1708</v>
      </c>
      <c r="I127" s="205" t="s">
        <v>1660</v>
      </c>
      <c r="J127" s="205" t="s">
        <v>1709</v>
      </c>
      <c r="K127" s="251"/>
    </row>
    <row r="128" spans="2:11" s="1" customFormat="1" ht="15" customHeight="1">
      <c r="B128" s="248"/>
      <c r="C128" s="205" t="s">
        <v>1606</v>
      </c>
      <c r="D128" s="205"/>
      <c r="E128" s="205"/>
      <c r="F128" s="226" t="s">
        <v>1658</v>
      </c>
      <c r="G128" s="205"/>
      <c r="H128" s="205" t="s">
        <v>1710</v>
      </c>
      <c r="I128" s="205" t="s">
        <v>1660</v>
      </c>
      <c r="J128" s="205" t="s">
        <v>1709</v>
      </c>
      <c r="K128" s="251"/>
    </row>
    <row r="129" spans="2:11" s="1" customFormat="1" ht="15" customHeight="1">
      <c r="B129" s="248"/>
      <c r="C129" s="205" t="s">
        <v>1669</v>
      </c>
      <c r="D129" s="205"/>
      <c r="E129" s="205"/>
      <c r="F129" s="226" t="s">
        <v>1664</v>
      </c>
      <c r="G129" s="205"/>
      <c r="H129" s="205" t="s">
        <v>1670</v>
      </c>
      <c r="I129" s="205" t="s">
        <v>1660</v>
      </c>
      <c r="J129" s="205">
        <v>15</v>
      </c>
      <c r="K129" s="251"/>
    </row>
    <row r="130" spans="2:11" s="1" customFormat="1" ht="15" customHeight="1">
      <c r="B130" s="248"/>
      <c r="C130" s="229" t="s">
        <v>1671</v>
      </c>
      <c r="D130" s="229"/>
      <c r="E130" s="229"/>
      <c r="F130" s="230" t="s">
        <v>1664</v>
      </c>
      <c r="G130" s="229"/>
      <c r="H130" s="229" t="s">
        <v>1672</v>
      </c>
      <c r="I130" s="229" t="s">
        <v>1660</v>
      </c>
      <c r="J130" s="229">
        <v>15</v>
      </c>
      <c r="K130" s="251"/>
    </row>
    <row r="131" spans="2:11" s="1" customFormat="1" ht="15" customHeight="1">
      <c r="B131" s="248"/>
      <c r="C131" s="229" t="s">
        <v>1673</v>
      </c>
      <c r="D131" s="229"/>
      <c r="E131" s="229"/>
      <c r="F131" s="230" t="s">
        <v>1664</v>
      </c>
      <c r="G131" s="229"/>
      <c r="H131" s="229" t="s">
        <v>1674</v>
      </c>
      <c r="I131" s="229" t="s">
        <v>1660</v>
      </c>
      <c r="J131" s="229">
        <v>20</v>
      </c>
      <c r="K131" s="251"/>
    </row>
    <row r="132" spans="2:11" s="1" customFormat="1" ht="15" customHeight="1">
      <c r="B132" s="248"/>
      <c r="C132" s="229" t="s">
        <v>1675</v>
      </c>
      <c r="D132" s="229"/>
      <c r="E132" s="229"/>
      <c r="F132" s="230" t="s">
        <v>1664</v>
      </c>
      <c r="G132" s="229"/>
      <c r="H132" s="229" t="s">
        <v>1676</v>
      </c>
      <c r="I132" s="229" t="s">
        <v>1660</v>
      </c>
      <c r="J132" s="229">
        <v>20</v>
      </c>
      <c r="K132" s="251"/>
    </row>
    <row r="133" spans="2:11" s="1" customFormat="1" ht="15" customHeight="1">
      <c r="B133" s="248"/>
      <c r="C133" s="205" t="s">
        <v>1663</v>
      </c>
      <c r="D133" s="205"/>
      <c r="E133" s="205"/>
      <c r="F133" s="226" t="s">
        <v>1664</v>
      </c>
      <c r="G133" s="205"/>
      <c r="H133" s="205" t="s">
        <v>1698</v>
      </c>
      <c r="I133" s="205" t="s">
        <v>1660</v>
      </c>
      <c r="J133" s="205">
        <v>50</v>
      </c>
      <c r="K133" s="251"/>
    </row>
    <row r="134" spans="2:11" s="1" customFormat="1" ht="15" customHeight="1">
      <c r="B134" s="248"/>
      <c r="C134" s="205" t="s">
        <v>1677</v>
      </c>
      <c r="D134" s="205"/>
      <c r="E134" s="205"/>
      <c r="F134" s="226" t="s">
        <v>1664</v>
      </c>
      <c r="G134" s="205"/>
      <c r="H134" s="205" t="s">
        <v>1698</v>
      </c>
      <c r="I134" s="205" t="s">
        <v>1660</v>
      </c>
      <c r="J134" s="205">
        <v>50</v>
      </c>
      <c r="K134" s="251"/>
    </row>
    <row r="135" spans="2:11" s="1" customFormat="1" ht="15" customHeight="1">
      <c r="B135" s="248"/>
      <c r="C135" s="205" t="s">
        <v>1683</v>
      </c>
      <c r="D135" s="205"/>
      <c r="E135" s="205"/>
      <c r="F135" s="226" t="s">
        <v>1664</v>
      </c>
      <c r="G135" s="205"/>
      <c r="H135" s="205" t="s">
        <v>1698</v>
      </c>
      <c r="I135" s="205" t="s">
        <v>1660</v>
      </c>
      <c r="J135" s="205">
        <v>50</v>
      </c>
      <c r="K135" s="251"/>
    </row>
    <row r="136" spans="2:11" s="1" customFormat="1" ht="15" customHeight="1">
      <c r="B136" s="248"/>
      <c r="C136" s="205" t="s">
        <v>1685</v>
      </c>
      <c r="D136" s="205"/>
      <c r="E136" s="205"/>
      <c r="F136" s="226" t="s">
        <v>1664</v>
      </c>
      <c r="G136" s="205"/>
      <c r="H136" s="205" t="s">
        <v>1698</v>
      </c>
      <c r="I136" s="205" t="s">
        <v>1660</v>
      </c>
      <c r="J136" s="205">
        <v>50</v>
      </c>
      <c r="K136" s="251"/>
    </row>
    <row r="137" spans="2:11" s="1" customFormat="1" ht="15" customHeight="1">
      <c r="B137" s="248"/>
      <c r="C137" s="205" t="s">
        <v>1686</v>
      </c>
      <c r="D137" s="205"/>
      <c r="E137" s="205"/>
      <c r="F137" s="226" t="s">
        <v>1664</v>
      </c>
      <c r="G137" s="205"/>
      <c r="H137" s="205" t="s">
        <v>1711</v>
      </c>
      <c r="I137" s="205" t="s">
        <v>1660</v>
      </c>
      <c r="J137" s="205">
        <v>255</v>
      </c>
      <c r="K137" s="251"/>
    </row>
    <row r="138" spans="2:11" s="1" customFormat="1" ht="15" customHeight="1">
      <c r="B138" s="248"/>
      <c r="C138" s="205" t="s">
        <v>1688</v>
      </c>
      <c r="D138" s="205"/>
      <c r="E138" s="205"/>
      <c r="F138" s="226" t="s">
        <v>1658</v>
      </c>
      <c r="G138" s="205"/>
      <c r="H138" s="205" t="s">
        <v>1712</v>
      </c>
      <c r="I138" s="205" t="s">
        <v>1690</v>
      </c>
      <c r="J138" s="205"/>
      <c r="K138" s="251"/>
    </row>
    <row r="139" spans="2:11" s="1" customFormat="1" ht="15" customHeight="1">
      <c r="B139" s="248"/>
      <c r="C139" s="205" t="s">
        <v>1691</v>
      </c>
      <c r="D139" s="205"/>
      <c r="E139" s="205"/>
      <c r="F139" s="226" t="s">
        <v>1658</v>
      </c>
      <c r="G139" s="205"/>
      <c r="H139" s="205" t="s">
        <v>1713</v>
      </c>
      <c r="I139" s="205" t="s">
        <v>1693</v>
      </c>
      <c r="J139" s="205"/>
      <c r="K139" s="251"/>
    </row>
    <row r="140" spans="2:11" s="1" customFormat="1" ht="15" customHeight="1">
      <c r="B140" s="248"/>
      <c r="C140" s="205" t="s">
        <v>1694</v>
      </c>
      <c r="D140" s="205"/>
      <c r="E140" s="205"/>
      <c r="F140" s="226" t="s">
        <v>1658</v>
      </c>
      <c r="G140" s="205"/>
      <c r="H140" s="205" t="s">
        <v>1694</v>
      </c>
      <c r="I140" s="205" t="s">
        <v>1693</v>
      </c>
      <c r="J140" s="205"/>
      <c r="K140" s="251"/>
    </row>
    <row r="141" spans="2:11" s="1" customFormat="1" ht="15" customHeight="1">
      <c r="B141" s="248"/>
      <c r="C141" s="205" t="s">
        <v>41</v>
      </c>
      <c r="D141" s="205"/>
      <c r="E141" s="205"/>
      <c r="F141" s="226" t="s">
        <v>1658</v>
      </c>
      <c r="G141" s="205"/>
      <c r="H141" s="205" t="s">
        <v>1714</v>
      </c>
      <c r="I141" s="205" t="s">
        <v>1693</v>
      </c>
      <c r="J141" s="205"/>
      <c r="K141" s="251"/>
    </row>
    <row r="142" spans="2:11" s="1" customFormat="1" ht="15" customHeight="1">
      <c r="B142" s="248"/>
      <c r="C142" s="205" t="s">
        <v>1715</v>
      </c>
      <c r="D142" s="205"/>
      <c r="E142" s="205"/>
      <c r="F142" s="226" t="s">
        <v>1658</v>
      </c>
      <c r="G142" s="205"/>
      <c r="H142" s="205" t="s">
        <v>1716</v>
      </c>
      <c r="I142" s="205" t="s">
        <v>1693</v>
      </c>
      <c r="J142" s="205"/>
      <c r="K142" s="251"/>
    </row>
    <row r="143" spans="2:11" s="1" customFormat="1" ht="15" customHeight="1">
      <c r="B143" s="252"/>
      <c r="C143" s="253"/>
      <c r="D143" s="253"/>
      <c r="E143" s="253"/>
      <c r="F143" s="253"/>
      <c r="G143" s="253"/>
      <c r="H143" s="253"/>
      <c r="I143" s="253"/>
      <c r="J143" s="253"/>
      <c r="K143" s="254"/>
    </row>
    <row r="144" spans="2:11" s="1" customFormat="1" ht="18.75" customHeight="1">
      <c r="B144" s="239"/>
      <c r="C144" s="239"/>
      <c r="D144" s="239"/>
      <c r="E144" s="239"/>
      <c r="F144" s="240"/>
      <c r="G144" s="239"/>
      <c r="H144" s="239"/>
      <c r="I144" s="239"/>
      <c r="J144" s="239"/>
      <c r="K144" s="239"/>
    </row>
    <row r="145" spans="2:11" s="1" customFormat="1" ht="18.75" customHeight="1">
      <c r="B145" s="212"/>
      <c r="C145" s="212"/>
      <c r="D145" s="212"/>
      <c r="E145" s="212"/>
      <c r="F145" s="212"/>
      <c r="G145" s="212"/>
      <c r="H145" s="212"/>
      <c r="I145" s="212"/>
      <c r="J145" s="212"/>
      <c r="K145" s="212"/>
    </row>
    <row r="146" spans="2:11" s="1" customFormat="1" ht="7.5" customHeight="1">
      <c r="B146" s="213"/>
      <c r="C146" s="214"/>
      <c r="D146" s="214"/>
      <c r="E146" s="214"/>
      <c r="F146" s="214"/>
      <c r="G146" s="214"/>
      <c r="H146" s="214"/>
      <c r="I146" s="214"/>
      <c r="J146" s="214"/>
      <c r="K146" s="215"/>
    </row>
    <row r="147" spans="2:11" s="1" customFormat="1" ht="45" customHeight="1">
      <c r="B147" s="216"/>
      <c r="C147" s="340" t="s">
        <v>1717</v>
      </c>
      <c r="D147" s="340"/>
      <c r="E147" s="340"/>
      <c r="F147" s="340"/>
      <c r="G147" s="340"/>
      <c r="H147" s="340"/>
      <c r="I147" s="340"/>
      <c r="J147" s="340"/>
      <c r="K147" s="217"/>
    </row>
    <row r="148" spans="2:11" s="1" customFormat="1" ht="17.25" customHeight="1">
      <c r="B148" s="216"/>
      <c r="C148" s="218" t="s">
        <v>1652</v>
      </c>
      <c r="D148" s="218"/>
      <c r="E148" s="218"/>
      <c r="F148" s="218" t="s">
        <v>1653</v>
      </c>
      <c r="G148" s="219"/>
      <c r="H148" s="218" t="s">
        <v>57</v>
      </c>
      <c r="I148" s="218" t="s">
        <v>60</v>
      </c>
      <c r="J148" s="218" t="s">
        <v>1654</v>
      </c>
      <c r="K148" s="217"/>
    </row>
    <row r="149" spans="2:11" s="1" customFormat="1" ht="17.25" customHeight="1">
      <c r="B149" s="216"/>
      <c r="C149" s="220" t="s">
        <v>1655</v>
      </c>
      <c r="D149" s="220"/>
      <c r="E149" s="220"/>
      <c r="F149" s="221" t="s">
        <v>1656</v>
      </c>
      <c r="G149" s="222"/>
      <c r="H149" s="220"/>
      <c r="I149" s="220"/>
      <c r="J149" s="220" t="s">
        <v>1657</v>
      </c>
      <c r="K149" s="217"/>
    </row>
    <row r="150" spans="2:11" s="1" customFormat="1" ht="5.25" customHeight="1">
      <c r="B150" s="228"/>
      <c r="C150" s="223"/>
      <c r="D150" s="223"/>
      <c r="E150" s="223"/>
      <c r="F150" s="223"/>
      <c r="G150" s="224"/>
      <c r="H150" s="223"/>
      <c r="I150" s="223"/>
      <c r="J150" s="223"/>
      <c r="K150" s="251"/>
    </row>
    <row r="151" spans="2:11" s="1" customFormat="1" ht="15" customHeight="1">
      <c r="B151" s="228"/>
      <c r="C151" s="255" t="s">
        <v>1661</v>
      </c>
      <c r="D151" s="205"/>
      <c r="E151" s="205"/>
      <c r="F151" s="256" t="s">
        <v>1658</v>
      </c>
      <c r="G151" s="205"/>
      <c r="H151" s="255" t="s">
        <v>1698</v>
      </c>
      <c r="I151" s="255" t="s">
        <v>1660</v>
      </c>
      <c r="J151" s="255">
        <v>120</v>
      </c>
      <c r="K151" s="251"/>
    </row>
    <row r="152" spans="2:11" s="1" customFormat="1" ht="15" customHeight="1">
      <c r="B152" s="228"/>
      <c r="C152" s="255" t="s">
        <v>1707</v>
      </c>
      <c r="D152" s="205"/>
      <c r="E152" s="205"/>
      <c r="F152" s="256" t="s">
        <v>1658</v>
      </c>
      <c r="G152" s="205"/>
      <c r="H152" s="255" t="s">
        <v>1718</v>
      </c>
      <c r="I152" s="255" t="s">
        <v>1660</v>
      </c>
      <c r="J152" s="255" t="s">
        <v>1709</v>
      </c>
      <c r="K152" s="251"/>
    </row>
    <row r="153" spans="2:11" s="1" customFormat="1" ht="15" customHeight="1">
      <c r="B153" s="228"/>
      <c r="C153" s="255" t="s">
        <v>1606</v>
      </c>
      <c r="D153" s="205"/>
      <c r="E153" s="205"/>
      <c r="F153" s="256" t="s">
        <v>1658</v>
      </c>
      <c r="G153" s="205"/>
      <c r="H153" s="255" t="s">
        <v>1719</v>
      </c>
      <c r="I153" s="255" t="s">
        <v>1660</v>
      </c>
      <c r="J153" s="255" t="s">
        <v>1709</v>
      </c>
      <c r="K153" s="251"/>
    </row>
    <row r="154" spans="2:11" s="1" customFormat="1" ht="15" customHeight="1">
      <c r="B154" s="228"/>
      <c r="C154" s="255" t="s">
        <v>1663</v>
      </c>
      <c r="D154" s="205"/>
      <c r="E154" s="205"/>
      <c r="F154" s="256" t="s">
        <v>1664</v>
      </c>
      <c r="G154" s="205"/>
      <c r="H154" s="255" t="s">
        <v>1698</v>
      </c>
      <c r="I154" s="255" t="s">
        <v>1660</v>
      </c>
      <c r="J154" s="255">
        <v>50</v>
      </c>
      <c r="K154" s="251"/>
    </row>
    <row r="155" spans="2:11" s="1" customFormat="1" ht="15" customHeight="1">
      <c r="B155" s="228"/>
      <c r="C155" s="255" t="s">
        <v>1666</v>
      </c>
      <c r="D155" s="205"/>
      <c r="E155" s="205"/>
      <c r="F155" s="256" t="s">
        <v>1658</v>
      </c>
      <c r="G155" s="205"/>
      <c r="H155" s="255" t="s">
        <v>1698</v>
      </c>
      <c r="I155" s="255" t="s">
        <v>1668</v>
      </c>
      <c r="J155" s="255"/>
      <c r="K155" s="251"/>
    </row>
    <row r="156" spans="2:11" s="1" customFormat="1" ht="15" customHeight="1">
      <c r="B156" s="228"/>
      <c r="C156" s="255" t="s">
        <v>1677</v>
      </c>
      <c r="D156" s="205"/>
      <c r="E156" s="205"/>
      <c r="F156" s="256" t="s">
        <v>1664</v>
      </c>
      <c r="G156" s="205"/>
      <c r="H156" s="255" t="s">
        <v>1698</v>
      </c>
      <c r="I156" s="255" t="s">
        <v>1660</v>
      </c>
      <c r="J156" s="255">
        <v>50</v>
      </c>
      <c r="K156" s="251"/>
    </row>
    <row r="157" spans="2:11" s="1" customFormat="1" ht="15" customHeight="1">
      <c r="B157" s="228"/>
      <c r="C157" s="255" t="s">
        <v>1685</v>
      </c>
      <c r="D157" s="205"/>
      <c r="E157" s="205"/>
      <c r="F157" s="256" t="s">
        <v>1664</v>
      </c>
      <c r="G157" s="205"/>
      <c r="H157" s="255" t="s">
        <v>1698</v>
      </c>
      <c r="I157" s="255" t="s">
        <v>1660</v>
      </c>
      <c r="J157" s="255">
        <v>50</v>
      </c>
      <c r="K157" s="251"/>
    </row>
    <row r="158" spans="2:11" s="1" customFormat="1" ht="15" customHeight="1">
      <c r="B158" s="228"/>
      <c r="C158" s="255" t="s">
        <v>1683</v>
      </c>
      <c r="D158" s="205"/>
      <c r="E158" s="205"/>
      <c r="F158" s="256" t="s">
        <v>1664</v>
      </c>
      <c r="G158" s="205"/>
      <c r="H158" s="255" t="s">
        <v>1698</v>
      </c>
      <c r="I158" s="255" t="s">
        <v>1660</v>
      </c>
      <c r="J158" s="255">
        <v>50</v>
      </c>
      <c r="K158" s="251"/>
    </row>
    <row r="159" spans="2:11" s="1" customFormat="1" ht="15" customHeight="1">
      <c r="B159" s="228"/>
      <c r="C159" s="255" t="s">
        <v>108</v>
      </c>
      <c r="D159" s="205"/>
      <c r="E159" s="205"/>
      <c r="F159" s="256" t="s">
        <v>1658</v>
      </c>
      <c r="G159" s="205"/>
      <c r="H159" s="255" t="s">
        <v>1720</v>
      </c>
      <c r="I159" s="255" t="s">
        <v>1660</v>
      </c>
      <c r="J159" s="255" t="s">
        <v>1721</v>
      </c>
      <c r="K159" s="251"/>
    </row>
    <row r="160" spans="2:11" s="1" customFormat="1" ht="15" customHeight="1">
      <c r="B160" s="228"/>
      <c r="C160" s="255" t="s">
        <v>1722</v>
      </c>
      <c r="D160" s="205"/>
      <c r="E160" s="205"/>
      <c r="F160" s="256" t="s">
        <v>1658</v>
      </c>
      <c r="G160" s="205"/>
      <c r="H160" s="255" t="s">
        <v>1723</v>
      </c>
      <c r="I160" s="255" t="s">
        <v>1693</v>
      </c>
      <c r="J160" s="255"/>
      <c r="K160" s="251"/>
    </row>
    <row r="161" spans="2:11" s="1" customFormat="1" ht="15" customHeight="1">
      <c r="B161" s="257"/>
      <c r="C161" s="237"/>
      <c r="D161" s="237"/>
      <c r="E161" s="237"/>
      <c r="F161" s="237"/>
      <c r="G161" s="237"/>
      <c r="H161" s="237"/>
      <c r="I161" s="237"/>
      <c r="J161" s="237"/>
      <c r="K161" s="258"/>
    </row>
    <row r="162" spans="2:11" s="1" customFormat="1" ht="18.75" customHeight="1">
      <c r="B162" s="239"/>
      <c r="C162" s="249"/>
      <c r="D162" s="249"/>
      <c r="E162" s="249"/>
      <c r="F162" s="259"/>
      <c r="G162" s="249"/>
      <c r="H162" s="249"/>
      <c r="I162" s="249"/>
      <c r="J162" s="249"/>
      <c r="K162" s="239"/>
    </row>
    <row r="163" spans="2:11" s="1" customFormat="1" ht="18.75" customHeight="1">
      <c r="B163" s="212"/>
      <c r="C163" s="212"/>
      <c r="D163" s="212"/>
      <c r="E163" s="212"/>
      <c r="F163" s="212"/>
      <c r="G163" s="212"/>
      <c r="H163" s="212"/>
      <c r="I163" s="212"/>
      <c r="J163" s="212"/>
      <c r="K163" s="212"/>
    </row>
    <row r="164" spans="2:11" s="1" customFormat="1" ht="7.5" customHeight="1">
      <c r="B164" s="194"/>
      <c r="C164" s="195"/>
      <c r="D164" s="195"/>
      <c r="E164" s="195"/>
      <c r="F164" s="195"/>
      <c r="G164" s="195"/>
      <c r="H164" s="195"/>
      <c r="I164" s="195"/>
      <c r="J164" s="195"/>
      <c r="K164" s="196"/>
    </row>
    <row r="165" spans="2:11" s="1" customFormat="1" ht="45" customHeight="1">
      <c r="B165" s="197"/>
      <c r="C165" s="338" t="s">
        <v>1724</v>
      </c>
      <c r="D165" s="338"/>
      <c r="E165" s="338"/>
      <c r="F165" s="338"/>
      <c r="G165" s="338"/>
      <c r="H165" s="338"/>
      <c r="I165" s="338"/>
      <c r="J165" s="338"/>
      <c r="K165" s="198"/>
    </row>
    <row r="166" spans="2:11" s="1" customFormat="1" ht="17.25" customHeight="1">
      <c r="B166" s="197"/>
      <c r="C166" s="218" t="s">
        <v>1652</v>
      </c>
      <c r="D166" s="218"/>
      <c r="E166" s="218"/>
      <c r="F166" s="218" t="s">
        <v>1653</v>
      </c>
      <c r="G166" s="260"/>
      <c r="H166" s="261" t="s">
        <v>57</v>
      </c>
      <c r="I166" s="261" t="s">
        <v>60</v>
      </c>
      <c r="J166" s="218" t="s">
        <v>1654</v>
      </c>
      <c r="K166" s="198"/>
    </row>
    <row r="167" spans="2:11" s="1" customFormat="1" ht="17.25" customHeight="1">
      <c r="B167" s="199"/>
      <c r="C167" s="220" t="s">
        <v>1655</v>
      </c>
      <c r="D167" s="220"/>
      <c r="E167" s="220"/>
      <c r="F167" s="221" t="s">
        <v>1656</v>
      </c>
      <c r="G167" s="262"/>
      <c r="H167" s="263"/>
      <c r="I167" s="263"/>
      <c r="J167" s="220" t="s">
        <v>1657</v>
      </c>
      <c r="K167" s="200"/>
    </row>
    <row r="168" spans="2:11" s="1" customFormat="1" ht="5.25" customHeight="1">
      <c r="B168" s="228"/>
      <c r="C168" s="223"/>
      <c r="D168" s="223"/>
      <c r="E168" s="223"/>
      <c r="F168" s="223"/>
      <c r="G168" s="224"/>
      <c r="H168" s="223"/>
      <c r="I168" s="223"/>
      <c r="J168" s="223"/>
      <c r="K168" s="251"/>
    </row>
    <row r="169" spans="2:11" s="1" customFormat="1" ht="15" customHeight="1">
      <c r="B169" s="228"/>
      <c r="C169" s="205" t="s">
        <v>1661</v>
      </c>
      <c r="D169" s="205"/>
      <c r="E169" s="205"/>
      <c r="F169" s="226" t="s">
        <v>1658</v>
      </c>
      <c r="G169" s="205"/>
      <c r="H169" s="205" t="s">
        <v>1698</v>
      </c>
      <c r="I169" s="205" t="s">
        <v>1660</v>
      </c>
      <c r="J169" s="205">
        <v>120</v>
      </c>
      <c r="K169" s="251"/>
    </row>
    <row r="170" spans="2:11" s="1" customFormat="1" ht="15" customHeight="1">
      <c r="B170" s="228"/>
      <c r="C170" s="205" t="s">
        <v>1707</v>
      </c>
      <c r="D170" s="205"/>
      <c r="E170" s="205"/>
      <c r="F170" s="226" t="s">
        <v>1658</v>
      </c>
      <c r="G170" s="205"/>
      <c r="H170" s="205" t="s">
        <v>1708</v>
      </c>
      <c r="I170" s="205" t="s">
        <v>1660</v>
      </c>
      <c r="J170" s="205" t="s">
        <v>1709</v>
      </c>
      <c r="K170" s="251"/>
    </row>
    <row r="171" spans="2:11" s="1" customFormat="1" ht="15" customHeight="1">
      <c r="B171" s="228"/>
      <c r="C171" s="205" t="s">
        <v>1606</v>
      </c>
      <c r="D171" s="205"/>
      <c r="E171" s="205"/>
      <c r="F171" s="226" t="s">
        <v>1658</v>
      </c>
      <c r="G171" s="205"/>
      <c r="H171" s="205" t="s">
        <v>1725</v>
      </c>
      <c r="I171" s="205" t="s">
        <v>1660</v>
      </c>
      <c r="J171" s="205" t="s">
        <v>1709</v>
      </c>
      <c r="K171" s="251"/>
    </row>
    <row r="172" spans="2:11" s="1" customFormat="1" ht="15" customHeight="1">
      <c r="B172" s="228"/>
      <c r="C172" s="205" t="s">
        <v>1663</v>
      </c>
      <c r="D172" s="205"/>
      <c r="E172" s="205"/>
      <c r="F172" s="226" t="s">
        <v>1664</v>
      </c>
      <c r="G172" s="205"/>
      <c r="H172" s="205" t="s">
        <v>1725</v>
      </c>
      <c r="I172" s="205" t="s">
        <v>1660</v>
      </c>
      <c r="J172" s="205">
        <v>50</v>
      </c>
      <c r="K172" s="251"/>
    </row>
    <row r="173" spans="2:11" s="1" customFormat="1" ht="15" customHeight="1">
      <c r="B173" s="228"/>
      <c r="C173" s="205" t="s">
        <v>1666</v>
      </c>
      <c r="D173" s="205"/>
      <c r="E173" s="205"/>
      <c r="F173" s="226" t="s">
        <v>1658</v>
      </c>
      <c r="G173" s="205"/>
      <c r="H173" s="205" t="s">
        <v>1725</v>
      </c>
      <c r="I173" s="205" t="s">
        <v>1668</v>
      </c>
      <c r="J173" s="205"/>
      <c r="K173" s="251"/>
    </row>
    <row r="174" spans="2:11" s="1" customFormat="1" ht="15" customHeight="1">
      <c r="B174" s="228"/>
      <c r="C174" s="205" t="s">
        <v>1677</v>
      </c>
      <c r="D174" s="205"/>
      <c r="E174" s="205"/>
      <c r="F174" s="226" t="s">
        <v>1664</v>
      </c>
      <c r="G174" s="205"/>
      <c r="H174" s="205" t="s">
        <v>1725</v>
      </c>
      <c r="I174" s="205" t="s">
        <v>1660</v>
      </c>
      <c r="J174" s="205">
        <v>50</v>
      </c>
      <c r="K174" s="251"/>
    </row>
    <row r="175" spans="2:11" s="1" customFormat="1" ht="15" customHeight="1">
      <c r="B175" s="228"/>
      <c r="C175" s="205" t="s">
        <v>1685</v>
      </c>
      <c r="D175" s="205"/>
      <c r="E175" s="205"/>
      <c r="F175" s="226" t="s">
        <v>1664</v>
      </c>
      <c r="G175" s="205"/>
      <c r="H175" s="205" t="s">
        <v>1725</v>
      </c>
      <c r="I175" s="205" t="s">
        <v>1660</v>
      </c>
      <c r="J175" s="205">
        <v>50</v>
      </c>
      <c r="K175" s="251"/>
    </row>
    <row r="176" spans="2:11" s="1" customFormat="1" ht="15" customHeight="1">
      <c r="B176" s="228"/>
      <c r="C176" s="205" t="s">
        <v>1683</v>
      </c>
      <c r="D176" s="205"/>
      <c r="E176" s="205"/>
      <c r="F176" s="226" t="s">
        <v>1664</v>
      </c>
      <c r="G176" s="205"/>
      <c r="H176" s="205" t="s">
        <v>1725</v>
      </c>
      <c r="I176" s="205" t="s">
        <v>1660</v>
      </c>
      <c r="J176" s="205">
        <v>50</v>
      </c>
      <c r="K176" s="251"/>
    </row>
    <row r="177" spans="2:11" s="1" customFormat="1" ht="15" customHeight="1">
      <c r="B177" s="228"/>
      <c r="C177" s="205" t="s">
        <v>130</v>
      </c>
      <c r="D177" s="205"/>
      <c r="E177" s="205"/>
      <c r="F177" s="226" t="s">
        <v>1658</v>
      </c>
      <c r="G177" s="205"/>
      <c r="H177" s="205" t="s">
        <v>1726</v>
      </c>
      <c r="I177" s="205" t="s">
        <v>1727</v>
      </c>
      <c r="J177" s="205"/>
      <c r="K177" s="251"/>
    </row>
    <row r="178" spans="2:11" s="1" customFormat="1" ht="15" customHeight="1">
      <c r="B178" s="228"/>
      <c r="C178" s="205" t="s">
        <v>60</v>
      </c>
      <c r="D178" s="205"/>
      <c r="E178" s="205"/>
      <c r="F178" s="226" t="s">
        <v>1658</v>
      </c>
      <c r="G178" s="205"/>
      <c r="H178" s="205" t="s">
        <v>1728</v>
      </c>
      <c r="I178" s="205" t="s">
        <v>1729</v>
      </c>
      <c r="J178" s="205">
        <v>1</v>
      </c>
      <c r="K178" s="251"/>
    </row>
    <row r="179" spans="2:11" s="1" customFormat="1" ht="15" customHeight="1">
      <c r="B179" s="228"/>
      <c r="C179" s="205" t="s">
        <v>56</v>
      </c>
      <c r="D179" s="205"/>
      <c r="E179" s="205"/>
      <c r="F179" s="226" t="s">
        <v>1658</v>
      </c>
      <c r="G179" s="205"/>
      <c r="H179" s="205" t="s">
        <v>1730</v>
      </c>
      <c r="I179" s="205" t="s">
        <v>1660</v>
      </c>
      <c r="J179" s="205">
        <v>20</v>
      </c>
      <c r="K179" s="251"/>
    </row>
    <row r="180" spans="2:11" s="1" customFormat="1" ht="15" customHeight="1">
      <c r="B180" s="228"/>
      <c r="C180" s="205" t="s">
        <v>57</v>
      </c>
      <c r="D180" s="205"/>
      <c r="E180" s="205"/>
      <c r="F180" s="226" t="s">
        <v>1658</v>
      </c>
      <c r="G180" s="205"/>
      <c r="H180" s="205" t="s">
        <v>1731</v>
      </c>
      <c r="I180" s="205" t="s">
        <v>1660</v>
      </c>
      <c r="J180" s="205">
        <v>255</v>
      </c>
      <c r="K180" s="251"/>
    </row>
    <row r="181" spans="2:11" s="1" customFormat="1" ht="15" customHeight="1">
      <c r="B181" s="228"/>
      <c r="C181" s="205" t="s">
        <v>131</v>
      </c>
      <c r="D181" s="205"/>
      <c r="E181" s="205"/>
      <c r="F181" s="226" t="s">
        <v>1658</v>
      </c>
      <c r="G181" s="205"/>
      <c r="H181" s="205" t="s">
        <v>1622</v>
      </c>
      <c r="I181" s="205" t="s">
        <v>1660</v>
      </c>
      <c r="J181" s="205">
        <v>10</v>
      </c>
      <c r="K181" s="251"/>
    </row>
    <row r="182" spans="2:11" s="1" customFormat="1" ht="15" customHeight="1">
      <c r="B182" s="228"/>
      <c r="C182" s="205" t="s">
        <v>132</v>
      </c>
      <c r="D182" s="205"/>
      <c r="E182" s="205"/>
      <c r="F182" s="226" t="s">
        <v>1658</v>
      </c>
      <c r="G182" s="205"/>
      <c r="H182" s="205" t="s">
        <v>1732</v>
      </c>
      <c r="I182" s="205" t="s">
        <v>1693</v>
      </c>
      <c r="J182" s="205"/>
      <c r="K182" s="251"/>
    </row>
    <row r="183" spans="2:11" s="1" customFormat="1" ht="15" customHeight="1">
      <c r="B183" s="228"/>
      <c r="C183" s="205" t="s">
        <v>1733</v>
      </c>
      <c r="D183" s="205"/>
      <c r="E183" s="205"/>
      <c r="F183" s="226" t="s">
        <v>1658</v>
      </c>
      <c r="G183" s="205"/>
      <c r="H183" s="205" t="s">
        <v>1734</v>
      </c>
      <c r="I183" s="205" t="s">
        <v>1693</v>
      </c>
      <c r="J183" s="205"/>
      <c r="K183" s="251"/>
    </row>
    <row r="184" spans="2:11" s="1" customFormat="1" ht="15" customHeight="1">
      <c r="B184" s="228"/>
      <c r="C184" s="205" t="s">
        <v>1722</v>
      </c>
      <c r="D184" s="205"/>
      <c r="E184" s="205"/>
      <c r="F184" s="226" t="s">
        <v>1658</v>
      </c>
      <c r="G184" s="205"/>
      <c r="H184" s="205" t="s">
        <v>1735</v>
      </c>
      <c r="I184" s="205" t="s">
        <v>1693</v>
      </c>
      <c r="J184" s="205"/>
      <c r="K184" s="251"/>
    </row>
    <row r="185" spans="2:11" s="1" customFormat="1" ht="15" customHeight="1">
      <c r="B185" s="228"/>
      <c r="C185" s="205" t="s">
        <v>134</v>
      </c>
      <c r="D185" s="205"/>
      <c r="E185" s="205"/>
      <c r="F185" s="226" t="s">
        <v>1664</v>
      </c>
      <c r="G185" s="205"/>
      <c r="H185" s="205" t="s">
        <v>1736</v>
      </c>
      <c r="I185" s="205" t="s">
        <v>1660</v>
      </c>
      <c r="J185" s="205">
        <v>50</v>
      </c>
      <c r="K185" s="251"/>
    </row>
    <row r="186" spans="2:11" s="1" customFormat="1" ht="15" customHeight="1">
      <c r="B186" s="228"/>
      <c r="C186" s="205" t="s">
        <v>1737</v>
      </c>
      <c r="D186" s="205"/>
      <c r="E186" s="205"/>
      <c r="F186" s="226" t="s">
        <v>1664</v>
      </c>
      <c r="G186" s="205"/>
      <c r="H186" s="205" t="s">
        <v>1738</v>
      </c>
      <c r="I186" s="205" t="s">
        <v>1739</v>
      </c>
      <c r="J186" s="205"/>
      <c r="K186" s="251"/>
    </row>
    <row r="187" spans="2:11" s="1" customFormat="1" ht="15" customHeight="1">
      <c r="B187" s="228"/>
      <c r="C187" s="205" t="s">
        <v>1740</v>
      </c>
      <c r="D187" s="205"/>
      <c r="E187" s="205"/>
      <c r="F187" s="226" t="s">
        <v>1664</v>
      </c>
      <c r="G187" s="205"/>
      <c r="H187" s="205" t="s">
        <v>1741</v>
      </c>
      <c r="I187" s="205" t="s">
        <v>1739</v>
      </c>
      <c r="J187" s="205"/>
      <c r="K187" s="251"/>
    </row>
    <row r="188" spans="2:11" s="1" customFormat="1" ht="15" customHeight="1">
      <c r="B188" s="228"/>
      <c r="C188" s="205" t="s">
        <v>1742</v>
      </c>
      <c r="D188" s="205"/>
      <c r="E188" s="205"/>
      <c r="F188" s="226" t="s">
        <v>1664</v>
      </c>
      <c r="G188" s="205"/>
      <c r="H188" s="205" t="s">
        <v>1743</v>
      </c>
      <c r="I188" s="205" t="s">
        <v>1739</v>
      </c>
      <c r="J188" s="205"/>
      <c r="K188" s="251"/>
    </row>
    <row r="189" spans="2:11" s="1" customFormat="1" ht="15" customHeight="1">
      <c r="B189" s="228"/>
      <c r="C189" s="264" t="s">
        <v>1744</v>
      </c>
      <c r="D189" s="205"/>
      <c r="E189" s="205"/>
      <c r="F189" s="226" t="s">
        <v>1664</v>
      </c>
      <c r="G189" s="205"/>
      <c r="H189" s="205" t="s">
        <v>1745</v>
      </c>
      <c r="I189" s="205" t="s">
        <v>1746</v>
      </c>
      <c r="J189" s="265" t="s">
        <v>1747</v>
      </c>
      <c r="K189" s="251"/>
    </row>
    <row r="190" spans="2:11" s="1" customFormat="1" ht="15" customHeight="1">
      <c r="B190" s="228"/>
      <c r="C190" s="264" t="s">
        <v>45</v>
      </c>
      <c r="D190" s="205"/>
      <c r="E190" s="205"/>
      <c r="F190" s="226" t="s">
        <v>1658</v>
      </c>
      <c r="G190" s="205"/>
      <c r="H190" s="202" t="s">
        <v>1748</v>
      </c>
      <c r="I190" s="205" t="s">
        <v>1749</v>
      </c>
      <c r="J190" s="205"/>
      <c r="K190" s="251"/>
    </row>
    <row r="191" spans="2:11" s="1" customFormat="1" ht="15" customHeight="1">
      <c r="B191" s="228"/>
      <c r="C191" s="264" t="s">
        <v>1750</v>
      </c>
      <c r="D191" s="205"/>
      <c r="E191" s="205"/>
      <c r="F191" s="226" t="s">
        <v>1658</v>
      </c>
      <c r="G191" s="205"/>
      <c r="H191" s="205" t="s">
        <v>1751</v>
      </c>
      <c r="I191" s="205" t="s">
        <v>1693</v>
      </c>
      <c r="J191" s="205"/>
      <c r="K191" s="251"/>
    </row>
    <row r="192" spans="2:11" s="1" customFormat="1" ht="15" customHeight="1">
      <c r="B192" s="228"/>
      <c r="C192" s="264" t="s">
        <v>1752</v>
      </c>
      <c r="D192" s="205"/>
      <c r="E192" s="205"/>
      <c r="F192" s="226" t="s">
        <v>1658</v>
      </c>
      <c r="G192" s="205"/>
      <c r="H192" s="205" t="s">
        <v>1753</v>
      </c>
      <c r="I192" s="205" t="s">
        <v>1693</v>
      </c>
      <c r="J192" s="205"/>
      <c r="K192" s="251"/>
    </row>
    <row r="193" spans="2:11" s="1" customFormat="1" ht="15" customHeight="1">
      <c r="B193" s="228"/>
      <c r="C193" s="264" t="s">
        <v>1754</v>
      </c>
      <c r="D193" s="205"/>
      <c r="E193" s="205"/>
      <c r="F193" s="226" t="s">
        <v>1664</v>
      </c>
      <c r="G193" s="205"/>
      <c r="H193" s="205" t="s">
        <v>1755</v>
      </c>
      <c r="I193" s="205" t="s">
        <v>1693</v>
      </c>
      <c r="J193" s="205"/>
      <c r="K193" s="251"/>
    </row>
    <row r="194" spans="2:11" s="1" customFormat="1" ht="15" customHeight="1">
      <c r="B194" s="257"/>
      <c r="C194" s="266"/>
      <c r="D194" s="237"/>
      <c r="E194" s="237"/>
      <c r="F194" s="237"/>
      <c r="G194" s="237"/>
      <c r="H194" s="237"/>
      <c r="I194" s="237"/>
      <c r="J194" s="237"/>
      <c r="K194" s="258"/>
    </row>
    <row r="195" spans="2:11" s="1" customFormat="1" ht="18.75" customHeight="1">
      <c r="B195" s="239"/>
      <c r="C195" s="249"/>
      <c r="D195" s="249"/>
      <c r="E195" s="249"/>
      <c r="F195" s="259"/>
      <c r="G195" s="249"/>
      <c r="H195" s="249"/>
      <c r="I195" s="249"/>
      <c r="J195" s="249"/>
      <c r="K195" s="239"/>
    </row>
    <row r="196" spans="2:11" s="1" customFormat="1" ht="18.75" customHeight="1">
      <c r="B196" s="239"/>
      <c r="C196" s="249"/>
      <c r="D196" s="249"/>
      <c r="E196" s="249"/>
      <c r="F196" s="259"/>
      <c r="G196" s="249"/>
      <c r="H196" s="249"/>
      <c r="I196" s="249"/>
      <c r="J196" s="249"/>
      <c r="K196" s="239"/>
    </row>
    <row r="197" spans="2:11" s="1" customFormat="1" ht="18.75" customHeight="1">
      <c r="B197" s="212"/>
      <c r="C197" s="212"/>
      <c r="D197" s="212"/>
      <c r="E197" s="212"/>
      <c r="F197" s="212"/>
      <c r="G197" s="212"/>
      <c r="H197" s="212"/>
      <c r="I197" s="212"/>
      <c r="J197" s="212"/>
      <c r="K197" s="212"/>
    </row>
    <row r="198" spans="2:11" s="1" customFormat="1" ht="13.5">
      <c r="B198" s="194"/>
      <c r="C198" s="195"/>
      <c r="D198" s="195"/>
      <c r="E198" s="195"/>
      <c r="F198" s="195"/>
      <c r="G198" s="195"/>
      <c r="H198" s="195"/>
      <c r="I198" s="195"/>
      <c r="J198" s="195"/>
      <c r="K198" s="196"/>
    </row>
    <row r="199" spans="2:11" s="1" customFormat="1" ht="21">
      <c r="B199" s="197"/>
      <c r="C199" s="338" t="s">
        <v>1756</v>
      </c>
      <c r="D199" s="338"/>
      <c r="E199" s="338"/>
      <c r="F199" s="338"/>
      <c r="G199" s="338"/>
      <c r="H199" s="338"/>
      <c r="I199" s="338"/>
      <c r="J199" s="338"/>
      <c r="K199" s="198"/>
    </row>
    <row r="200" spans="2:11" s="1" customFormat="1" ht="25.5" customHeight="1">
      <c r="B200" s="197"/>
      <c r="C200" s="267" t="s">
        <v>1757</v>
      </c>
      <c r="D200" s="267"/>
      <c r="E200" s="267"/>
      <c r="F200" s="267" t="s">
        <v>1758</v>
      </c>
      <c r="G200" s="268"/>
      <c r="H200" s="344" t="s">
        <v>1759</v>
      </c>
      <c r="I200" s="344"/>
      <c r="J200" s="344"/>
      <c r="K200" s="198"/>
    </row>
    <row r="201" spans="2:11" s="1" customFormat="1" ht="5.25" customHeight="1">
      <c r="B201" s="228"/>
      <c r="C201" s="223"/>
      <c r="D201" s="223"/>
      <c r="E201" s="223"/>
      <c r="F201" s="223"/>
      <c r="G201" s="249"/>
      <c r="H201" s="223"/>
      <c r="I201" s="223"/>
      <c r="J201" s="223"/>
      <c r="K201" s="251"/>
    </row>
    <row r="202" spans="2:11" s="1" customFormat="1" ht="15" customHeight="1">
      <c r="B202" s="228"/>
      <c r="C202" s="205" t="s">
        <v>1749</v>
      </c>
      <c r="D202" s="205"/>
      <c r="E202" s="205"/>
      <c r="F202" s="226" t="s">
        <v>46</v>
      </c>
      <c r="G202" s="205"/>
      <c r="H202" s="343" t="s">
        <v>1760</v>
      </c>
      <c r="I202" s="343"/>
      <c r="J202" s="343"/>
      <c r="K202" s="251"/>
    </row>
    <row r="203" spans="2:11" s="1" customFormat="1" ht="15" customHeight="1">
      <c r="B203" s="228"/>
      <c r="C203" s="205"/>
      <c r="D203" s="205"/>
      <c r="E203" s="205"/>
      <c r="F203" s="226" t="s">
        <v>47</v>
      </c>
      <c r="G203" s="205"/>
      <c r="H203" s="343" t="s">
        <v>1761</v>
      </c>
      <c r="I203" s="343"/>
      <c r="J203" s="343"/>
      <c r="K203" s="251"/>
    </row>
    <row r="204" spans="2:11" s="1" customFormat="1" ht="15" customHeight="1">
      <c r="B204" s="228"/>
      <c r="C204" s="205"/>
      <c r="D204" s="205"/>
      <c r="E204" s="205"/>
      <c r="F204" s="226" t="s">
        <v>50</v>
      </c>
      <c r="G204" s="205"/>
      <c r="H204" s="343" t="s">
        <v>1762</v>
      </c>
      <c r="I204" s="343"/>
      <c r="J204" s="343"/>
      <c r="K204" s="251"/>
    </row>
    <row r="205" spans="2:11" s="1" customFormat="1" ht="15" customHeight="1">
      <c r="B205" s="228"/>
      <c r="C205" s="205"/>
      <c r="D205" s="205"/>
      <c r="E205" s="205"/>
      <c r="F205" s="226" t="s">
        <v>48</v>
      </c>
      <c r="G205" s="205"/>
      <c r="H205" s="343" t="s">
        <v>1763</v>
      </c>
      <c r="I205" s="343"/>
      <c r="J205" s="343"/>
      <c r="K205" s="251"/>
    </row>
    <row r="206" spans="2:11" s="1" customFormat="1" ht="15" customHeight="1">
      <c r="B206" s="228"/>
      <c r="C206" s="205"/>
      <c r="D206" s="205"/>
      <c r="E206" s="205"/>
      <c r="F206" s="226" t="s">
        <v>49</v>
      </c>
      <c r="G206" s="205"/>
      <c r="H206" s="343" t="s">
        <v>1764</v>
      </c>
      <c r="I206" s="343"/>
      <c r="J206" s="343"/>
      <c r="K206" s="251"/>
    </row>
    <row r="207" spans="2:11" s="1" customFormat="1" ht="15" customHeight="1">
      <c r="B207" s="228"/>
      <c r="C207" s="205"/>
      <c r="D207" s="205"/>
      <c r="E207" s="205"/>
      <c r="F207" s="226"/>
      <c r="G207" s="205"/>
      <c r="H207" s="205"/>
      <c r="I207" s="205"/>
      <c r="J207" s="205"/>
      <c r="K207" s="251"/>
    </row>
    <row r="208" spans="2:11" s="1" customFormat="1" ht="15" customHeight="1">
      <c r="B208" s="228"/>
      <c r="C208" s="205" t="s">
        <v>1705</v>
      </c>
      <c r="D208" s="205"/>
      <c r="E208" s="205"/>
      <c r="F208" s="226" t="s">
        <v>82</v>
      </c>
      <c r="G208" s="205"/>
      <c r="H208" s="343" t="s">
        <v>1765</v>
      </c>
      <c r="I208" s="343"/>
      <c r="J208" s="343"/>
      <c r="K208" s="251"/>
    </row>
    <row r="209" spans="2:11" s="1" customFormat="1" ht="15" customHeight="1">
      <c r="B209" s="228"/>
      <c r="C209" s="205"/>
      <c r="D209" s="205"/>
      <c r="E209" s="205"/>
      <c r="F209" s="226" t="s">
        <v>1600</v>
      </c>
      <c r="G209" s="205"/>
      <c r="H209" s="343" t="s">
        <v>1601</v>
      </c>
      <c r="I209" s="343"/>
      <c r="J209" s="343"/>
      <c r="K209" s="251"/>
    </row>
    <row r="210" spans="2:11" s="1" customFormat="1" ht="15" customHeight="1">
      <c r="B210" s="228"/>
      <c r="C210" s="205"/>
      <c r="D210" s="205"/>
      <c r="E210" s="205"/>
      <c r="F210" s="226" t="s">
        <v>1598</v>
      </c>
      <c r="G210" s="205"/>
      <c r="H210" s="343" t="s">
        <v>1766</v>
      </c>
      <c r="I210" s="343"/>
      <c r="J210" s="343"/>
      <c r="K210" s="251"/>
    </row>
    <row r="211" spans="2:11" s="1" customFormat="1" ht="15" customHeight="1">
      <c r="B211" s="269"/>
      <c r="C211" s="205"/>
      <c r="D211" s="205"/>
      <c r="E211" s="205"/>
      <c r="F211" s="226" t="s">
        <v>1602</v>
      </c>
      <c r="G211" s="264"/>
      <c r="H211" s="342" t="s">
        <v>1603</v>
      </c>
      <c r="I211" s="342"/>
      <c r="J211" s="342"/>
      <c r="K211" s="270"/>
    </row>
    <row r="212" spans="2:11" s="1" customFormat="1" ht="15" customHeight="1">
      <c r="B212" s="269"/>
      <c r="C212" s="205"/>
      <c r="D212" s="205"/>
      <c r="E212" s="205"/>
      <c r="F212" s="226" t="s">
        <v>1604</v>
      </c>
      <c r="G212" s="264"/>
      <c r="H212" s="342" t="s">
        <v>1767</v>
      </c>
      <c r="I212" s="342"/>
      <c r="J212" s="342"/>
      <c r="K212" s="270"/>
    </row>
    <row r="213" spans="2:11" s="1" customFormat="1" ht="15" customHeight="1">
      <c r="B213" s="269"/>
      <c r="C213" s="205"/>
      <c r="D213" s="205"/>
      <c r="E213" s="205"/>
      <c r="F213" s="226"/>
      <c r="G213" s="264"/>
      <c r="H213" s="255"/>
      <c r="I213" s="255"/>
      <c r="J213" s="255"/>
      <c r="K213" s="270"/>
    </row>
    <row r="214" spans="2:11" s="1" customFormat="1" ht="15" customHeight="1">
      <c r="B214" s="269"/>
      <c r="C214" s="205" t="s">
        <v>1729</v>
      </c>
      <c r="D214" s="205"/>
      <c r="E214" s="205"/>
      <c r="F214" s="226">
        <v>1</v>
      </c>
      <c r="G214" s="264"/>
      <c r="H214" s="342" t="s">
        <v>1768</v>
      </c>
      <c r="I214" s="342"/>
      <c r="J214" s="342"/>
      <c r="K214" s="270"/>
    </row>
    <row r="215" spans="2:11" s="1" customFormat="1" ht="15" customHeight="1">
      <c r="B215" s="269"/>
      <c r="C215" s="205"/>
      <c r="D215" s="205"/>
      <c r="E215" s="205"/>
      <c r="F215" s="226">
        <v>2</v>
      </c>
      <c r="G215" s="264"/>
      <c r="H215" s="342" t="s">
        <v>1769</v>
      </c>
      <c r="I215" s="342"/>
      <c r="J215" s="342"/>
      <c r="K215" s="270"/>
    </row>
    <row r="216" spans="2:11" s="1" customFormat="1" ht="15" customHeight="1">
      <c r="B216" s="269"/>
      <c r="C216" s="205"/>
      <c r="D216" s="205"/>
      <c r="E216" s="205"/>
      <c r="F216" s="226">
        <v>3</v>
      </c>
      <c r="G216" s="264"/>
      <c r="H216" s="342" t="s">
        <v>1770</v>
      </c>
      <c r="I216" s="342"/>
      <c r="J216" s="342"/>
      <c r="K216" s="270"/>
    </row>
    <row r="217" spans="2:11" s="1" customFormat="1" ht="15" customHeight="1">
      <c r="B217" s="269"/>
      <c r="C217" s="205"/>
      <c r="D217" s="205"/>
      <c r="E217" s="205"/>
      <c r="F217" s="226">
        <v>4</v>
      </c>
      <c r="G217" s="264"/>
      <c r="H217" s="342" t="s">
        <v>1771</v>
      </c>
      <c r="I217" s="342"/>
      <c r="J217" s="342"/>
      <c r="K217" s="270"/>
    </row>
    <row r="218" spans="2:11" s="1" customFormat="1" ht="12.75" customHeight="1">
      <c r="B218" s="271"/>
      <c r="C218" s="272"/>
      <c r="D218" s="272"/>
      <c r="E218" s="272"/>
      <c r="F218" s="272"/>
      <c r="G218" s="272"/>
      <c r="H218" s="272"/>
      <c r="I218" s="272"/>
      <c r="J218" s="272"/>
      <c r="K218" s="27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Pavel</cp:lastModifiedBy>
  <cp:lastPrinted>2020-10-25T23:08:33Z</cp:lastPrinted>
  <dcterms:created xsi:type="dcterms:W3CDTF">2020-09-13T17:52:14Z</dcterms:created>
  <dcterms:modified xsi:type="dcterms:W3CDTF">2020-10-27T08:33:01Z</dcterms:modified>
  <cp:category/>
  <cp:version/>
  <cp:contentType/>
  <cp:contentStatus/>
</cp:coreProperties>
</file>