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65416" yWindow="65416" windowWidth="29040" windowHeight="15840" activeTab="0"/>
  </bookViews>
  <sheets>
    <sheet name="Rekapitulace stavby" sheetId="1" r:id="rId1"/>
    <sheet name="01 - Stavební část" sheetId="2" r:id="rId2"/>
    <sheet name="02 - Zdravotechnika" sheetId="3" r:id="rId3"/>
    <sheet name="03 - Vytápění" sheetId="4" r:id="rId4"/>
    <sheet name="04 - Elektroinstalace" sheetId="5" r:id="rId5"/>
    <sheet name="05 - Interiérové vybavení" sheetId="7" r:id="rId6"/>
    <sheet name="06 - VRN" sheetId="8" r:id="rId7"/>
    <sheet name="Pokyny pro vyplnění" sheetId="9" r:id="rId8"/>
  </sheets>
  <definedNames>
    <definedName name="_xlnm._FilterDatabase" localSheetId="1" hidden="1">'01 - Stavební část'!$C$90:$K$316</definedName>
    <definedName name="_xlnm._FilterDatabase" localSheetId="2" hidden="1">'02 - Zdravotechnika'!$C$87:$K$178</definedName>
    <definedName name="_xlnm._FilterDatabase" localSheetId="3" hidden="1">'03 - Vytápění'!$C$84:$K$129</definedName>
    <definedName name="_xlnm._FilterDatabase" localSheetId="4" hidden="1">'04 - Elektroinstalace'!$C$88:$K$192</definedName>
    <definedName name="_xlnm._FilterDatabase" localSheetId="5" hidden="1">'05 - Interiérové vybavení'!$C$80:$K$89</definedName>
    <definedName name="_xlnm._FilterDatabase" localSheetId="6" hidden="1">'06 - VRN'!$C$81:$K$89</definedName>
    <definedName name="_xlnm.Print_Area" localSheetId="1">'01 - Stavební část'!$C$4:$J$39,'01 - Stavební část'!$C$45:$J$72,'01 - Stavební část'!$C$78:$K$316</definedName>
    <definedName name="_xlnm.Print_Area" localSheetId="2">'02 - Zdravotechnika'!$C$4:$J$39,'02 - Zdravotechnika'!$C$45:$J$69,'02 - Zdravotechnika'!$C$75:$K$178</definedName>
    <definedName name="_xlnm.Print_Area" localSheetId="3">'03 - Vytápění'!$C$4:$J$39,'03 - Vytápění'!$C$45:$J$66,'03 - Vytápění'!$C$72:$K$129</definedName>
    <definedName name="_xlnm.Print_Area" localSheetId="4">'04 - Elektroinstalace'!$C$4:$J$39,'04 - Elektroinstalace'!$C$45:$J$70,'04 - Elektroinstalace'!$C$76:$K$192</definedName>
    <definedName name="_xlnm.Print_Area" localSheetId="5">'05 - Interiérové vybavení'!$C$4:$J$39,'05 - Interiérové vybavení'!$C$45:$J$62,'05 - Interiérové vybavení'!$C$68:$K$89</definedName>
    <definedName name="_xlnm.Print_Area" localSheetId="6">'06 - VRN'!$C$4:$J$39,'06 - VRN'!$C$45:$J$63,'06 - VRN'!$C$69:$K$89</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Titles" localSheetId="0">'Rekapitulace stavby'!$52:$52</definedName>
    <definedName name="_xlnm.Print_Titles" localSheetId="1">'01 - Stavební část'!$90:$90</definedName>
    <definedName name="_xlnm.Print_Titles" localSheetId="2">'02 - Zdravotechnika'!$87:$87</definedName>
    <definedName name="_xlnm.Print_Titles" localSheetId="3">'03 - Vytápění'!$84:$84</definedName>
    <definedName name="_xlnm.Print_Titles" localSheetId="4">'04 - Elektroinstalace'!$88:$88</definedName>
    <definedName name="_xlnm.Print_Titles" localSheetId="5">'05 - Interiérové vybavení'!$80:$80</definedName>
    <definedName name="_xlnm.Print_Titles" localSheetId="6">'06 - VRN'!$81:$81</definedName>
  </definedNames>
  <calcPr calcId="191029"/>
  <extLst/>
</workbook>
</file>

<file path=xl/sharedStrings.xml><?xml version="1.0" encoding="utf-8"?>
<sst xmlns="http://schemas.openxmlformats.org/spreadsheetml/2006/main" count="5791" uniqueCount="1029">
  <si>
    <t>Export Komplet</t>
  </si>
  <si>
    <t>VZ</t>
  </si>
  <si>
    <t>2.0</t>
  </si>
  <si>
    <t/>
  </si>
  <si>
    <t>False</t>
  </si>
  <si>
    <t>{f2609e9d-5a3c-4984-9ef0-fe88bee79bf1}</t>
  </si>
  <si>
    <t>&gt;&gt;  skryté sloupce  &lt;&lt;</t>
  </si>
  <si>
    <t>0,01</t>
  </si>
  <si>
    <t>21</t>
  </si>
  <si>
    <t>15</t>
  </si>
  <si>
    <t>REKAPITULACE STAVBY</t>
  </si>
  <si>
    <t>v ---  níže se nacházejí doplnkové a pomocné údaje k sestavám  --- v</t>
  </si>
  <si>
    <t>0,001</t>
  </si>
  <si>
    <t>Kód:</t>
  </si>
  <si>
    <t>Stavba:</t>
  </si>
  <si>
    <t>KSO:</t>
  </si>
  <si>
    <t>801 11 96</t>
  </si>
  <si>
    <t>CC-CZ:</t>
  </si>
  <si>
    <t>1264</t>
  </si>
  <si>
    <t>Místo:</t>
  </si>
  <si>
    <t>Nymburk</t>
  </si>
  <si>
    <t>Datum:</t>
  </si>
  <si>
    <t>Zadavatel:</t>
  </si>
  <si>
    <t>IČ:</t>
  </si>
  <si>
    <t>28762886</t>
  </si>
  <si>
    <t>Nemocnice Nymburk s.r.o.</t>
  </si>
  <si>
    <t>DIČ:</t>
  </si>
  <si>
    <t>CZ28762886</t>
  </si>
  <si>
    <t>Zhotovitel:</t>
  </si>
  <si>
    <t xml:space="preserve"> </t>
  </si>
  <si>
    <t>Projektant:</t>
  </si>
  <si>
    <t>87577364</t>
  </si>
  <si>
    <t>Ing. arch. Pavel Petrák</t>
  </si>
  <si>
    <t>CZ8305093049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</si>
  <si>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</si>
  <si>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</si>
  <si>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</si>
  <si>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</si>
  <si>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</si>
  <si>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</si>
  <si>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</si>
  <si>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</si>
  <si>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</si>
  <si>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</si>
  <si>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</si>
  <si>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</si>
  <si>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</si>
  <si>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</si>
  <si>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</si>
  <si>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</si>
  <si>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</si>
  <si>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</si>
  <si>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</si>
  <si>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</si>
  <si>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</si>
  <si>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</si>
  <si>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</si>
  <si>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</si>
  <si>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</si>
  <si>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</si>
  <si>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</si>
  <si>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</si>
  <si>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</si>
  <si>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</si>
  <si>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</si>
  <si>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</si>
  <si>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</si>
  <si>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</si>
  <si>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</si>
  <si>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</si>
  <si>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</si>
  <si>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</si>
  <si>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</si>
  <si>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</si>
  <si>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</si>
  <si>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</si>
  <si>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</si>
  <si>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</si>
  <si>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</si>
  <si>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</si>
  <si>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</si>
  <si>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{eeb6fb7f-35e4-4d7d-a6b0-a90340017859}</t>
  </si>
  <si>
    <t>2</t>
  </si>
  <si>
    <t>02</t>
  </si>
  <si>
    <t>Zdravotechnika</t>
  </si>
  <si>
    <t>{fbca14ec-ca63-4e47-b72b-312fed151f82}</t>
  </si>
  <si>
    <t>03</t>
  </si>
  <si>
    <t>Vytápění</t>
  </si>
  <si>
    <t>{8e76e5ce-3b27-469b-b572-c85514959e23}</t>
  </si>
  <si>
    <t>04</t>
  </si>
  <si>
    <t>Elektroinstalace</t>
  </si>
  <si>
    <t>{1f25ad92-4fe5-467e-9a91-20fb6becb107}</t>
  </si>
  <si>
    <t>05</t>
  </si>
  <si>
    <t>06</t>
  </si>
  <si>
    <t>Interiérové vybavení</t>
  </si>
  <si>
    <t>{023e2caa-9585-46c1-85f6-83dfa3c40adb}</t>
  </si>
  <si>
    <t>VRN</t>
  </si>
  <si>
    <t>{28dbb35c-50be-47ea-8ca5-517739727674}</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</si>
  <si>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</si>
  <si>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</si>
  <si>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</si>
  <si>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</si>
  <si>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</si>
  <si>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</si>
  <si>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</si>
  <si>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</si>
  <si>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</si>
  <si>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</si>
  <si>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</si>
  <si>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</si>
  <si>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</si>
  <si>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</si>
  <si>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</si>
  <si>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766 - Konstrukce truhlářské</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</si>
  <si>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</si>
  <si>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</si>
  <si>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</si>
  <si>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</si>
  <si>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</si>
  <si>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</si>
  <si>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</si>
  <si>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</si>
  <si>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</si>
  <si>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</si>
  <si>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</si>
  <si>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</si>
  <si>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</si>
  <si>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</si>
  <si>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</si>
  <si>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</si>
  <si>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</si>
  <si>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</si>
  <si>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</si>
  <si>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</si>
  <si>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</si>
  <si>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</si>
  <si>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</si>
  <si>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R-položka</t>
  </si>
  <si>
    <t>4</t>
  </si>
  <si>
    <t>VV</t>
  </si>
  <si>
    <t>kus</t>
  </si>
  <si>
    <t>CS ÚRS 2020 02</t>
  </si>
  <si>
    <t>PSC</t>
  </si>
  <si>
    <t>Součet</t>
  </si>
  <si>
    <t>t</t>
  </si>
  <si>
    <t>5</t>
  </si>
  <si>
    <t>M</t>
  </si>
  <si>
    <t>8</t>
  </si>
  <si>
    <t>6</t>
  </si>
  <si>
    <t>m2</t>
  </si>
  <si>
    <t>9</t>
  </si>
  <si>
    <t>m</t>
  </si>
  <si>
    <t>viz předchozí výpočty</t>
  </si>
  <si>
    <t>Úpravy povrchů, podlahy a osazování výplní</t>
  </si>
  <si>
    <t>16</t>
  </si>
  <si>
    <t>viz výkr. Půdorys 1.a 2.NP - stávající stav + bourané kce, Řez objektem a další</t>
  </si>
  <si>
    <t>632451101</t>
  </si>
  <si>
    <t>Potěr cementový samonivelační ze suchých směsí tloušťky přes 2 do 5 mm</t>
  </si>
  <si>
    <t>-1188112031</t>
  </si>
  <si>
    <t>633811111</t>
  </si>
  <si>
    <t>Broušení betonových podlah nerovností do 2 mm (stržení šlemu)</t>
  </si>
  <si>
    <t>-878966438</t>
  </si>
  <si>
    <t>32</t>
  </si>
  <si>
    <t>633811119</t>
  </si>
  <si>
    <t>Broušení betonových podlah Příplatek k ceně za každý další 1 mm úběru</t>
  </si>
  <si>
    <t>-1718702028</t>
  </si>
  <si>
    <t>642944121</t>
  </si>
  <si>
    <t>Osazení ocelových dveřních zárubní lisovaných nebo z úhelníků dodatečně s vybetonováním prahu, plochy do 2,5 m2</t>
  </si>
  <si>
    <t>-565369999</t>
  </si>
  <si>
    <t xml:space="preserve">Poznámka k souboru cen:
1. V cenách nejsou započteny náklady na dodání zárubní, tyto se oceňují ve specifikaci.
</t>
  </si>
  <si>
    <t>P</t>
  </si>
  <si>
    <t>55331433</t>
  </si>
  <si>
    <t>zárubeň jednokřídlá ocelová pro dodatečnou montáž tl stěny 75-100mm rozměru 900/1970, 2100mm</t>
  </si>
  <si>
    <t>1457785423</t>
  </si>
  <si>
    <t>Ostatní konstrukce a práce, bourání</t>
  </si>
  <si>
    <t>949101111</t>
  </si>
  <si>
    <t>Lešení pomocné pracovní pro objekty pozemních staveb pro zatížení do 150 kg/m2, o výšce lešeňové podlahy do 1,9 m</t>
  </si>
  <si>
    <t>-1154693108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</si>
  <si>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</si>
  <si>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 xml:space="preserve">Poznámka k souboru cen:
1. Odsekání soklíků se oceňuje cenami souboru cen 965 08.
</t>
  </si>
  <si>
    <t>968062375</t>
  </si>
  <si>
    <t>Vybourání dřevěných rámů oken s křídly, dveřních zárubní, vrat, stěn, ostění nebo obkladů rámů oken s křídly zdvojených, plochy do 2 m2</t>
  </si>
  <si>
    <t>-1566899316</t>
  </si>
  <si>
    <t xml:space="preserve">Poznámka k souboru cen:
1. V cenách -2244 až -2747 jsou započteny i náklady na vyvěšení křídel.
</t>
  </si>
  <si>
    <t>978059541</t>
  </si>
  <si>
    <t>Odsekání obkladů stěn včetně otlučení podkladní omítky až na zdivo z obkládaček vnitřních, z jakýchkoliv materiálů, plochy přes 1 m2</t>
  </si>
  <si>
    <t>-1328308876</t>
  </si>
  <si>
    <t>997</t>
  </si>
  <si>
    <t>Přesun sutě</t>
  </si>
  <si>
    <t>997013211</t>
  </si>
  <si>
    <t>Vnitrostaveništní doprava suti a vybouraných hmot vodorovně do 50 m svisle ručně pro budovy a haly výšky do 6 m</t>
  </si>
  <si>
    <t>54351242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</si>
  <si>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</si>
  <si>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</si>
  <si>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</si>
  <si>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524292567</t>
  </si>
  <si>
    <t>997013501</t>
  </si>
  <si>
    <t>Odvoz suti a vybouraných hmot na skládku nebo meziskládku se složením, na vzdálenost do 1 km</t>
  </si>
  <si>
    <t>-1851956938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</si>
  <si>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</si>
  <si>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</si>
  <si>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</si>
  <si>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-1307515831</t>
  </si>
  <si>
    <t>997013631</t>
  </si>
  <si>
    <t>Poplatek za uložení stavebního odpadu na skládce (skládkovné) směsného stavebního a demoličního zatříděného do Katalogu odpadů pod kódem 17 09 04</t>
  </si>
  <si>
    <t>1365421890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</si>
  <si>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</si>
  <si>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</si>
  <si>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</si>
  <si>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998018001</t>
  </si>
  <si>
    <t>Přesun hmot pro budovy občanské výstavby, bydlení, výrobu a služby ruční - bez užití mechanizace vodorovná dopravní vzdálenost do 100 m pro budovy s jakoukoliv nosnou konstrukcí výšky do 6 m</t>
  </si>
  <si>
    <t>1374669751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</si>
  <si>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</si>
  <si>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</si>
  <si>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</si>
  <si>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</si>
  <si>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</si>
  <si>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763131451</t>
  </si>
  <si>
    <t>Podhled ze sádrokartonových desek dvouvrstvá zavěšená spodní konstrukce z ocelových profilů CD, UD jednoduše opláštěná deskou impregnovanou H2, tl. 12,5 mm, bez izolace</t>
  </si>
  <si>
    <t>-1935990660</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</si>
  <si>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</si>
  <si>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763131771</t>
  </si>
  <si>
    <t>Podhled ze sádrokartonových desek Příplatek k cenám za rovinnost kvality speciální tmelení kvality Q3</t>
  </si>
  <si>
    <t>539977447</t>
  </si>
  <si>
    <t>763131714</t>
  </si>
  <si>
    <t>Podhled ze sádrokartonových desek ostatní práce a konstrukce na podhledech ze sádrokartonových desek základní penetrační nátěr</t>
  </si>
  <si>
    <t>-133375289</t>
  </si>
  <si>
    <t>998763401</t>
  </si>
  <si>
    <t>Přesun hmot pro konstrukce montované z desek stanovený procentní sazbou (%) z ceny vodorovná dopravní vzdálenost do 50 m v objektech výšky do 6 m</t>
  </si>
  <si>
    <t>%</t>
  </si>
  <si>
    <t>-1210824143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</si>
  <si>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</si>
  <si>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998763491</t>
  </si>
  <si>
    <t>Přesun hmot pro konstrukce montované z desek stanovený procentní sazbou (%) z ceny Příplatek k cenám za zvětšený přesun přes vymezenou dopravní vzdálenost do 100 m</t>
  </si>
  <si>
    <t>1729199415</t>
  </si>
  <si>
    <t>766</t>
  </si>
  <si>
    <t>Konstrukce truhlářské</t>
  </si>
  <si>
    <t>766441812</t>
  </si>
  <si>
    <t>Demontáž parapetních desek dřevěných nebo plastových šířky přes 300 mm délky do 1 m</t>
  </si>
  <si>
    <t>-640956037</t>
  </si>
  <si>
    <t>766414241</t>
  </si>
  <si>
    <t>Montáž obložení stěn plochy do 5 m2 panely obkladovými z aglomerovaných desek, plochy do 0,60 m2</t>
  </si>
  <si>
    <t>1790760276</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</si>
  <si>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</si>
  <si>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MDF 16</t>
  </si>
  <si>
    <t>1333713335</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</si>
  <si>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</si>
  <si>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766660002</t>
  </si>
  <si>
    <t>Montáž dveřních křídel dřevěných nebo plastových otevíravých do ocelové zárubně povrchově upravených jednokřídlových, šířky přes 800 mm</t>
  </si>
  <si>
    <t>1875380584</t>
  </si>
  <si>
    <t>611-D04</t>
  </si>
  <si>
    <t>1095994838</t>
  </si>
  <si>
    <t>998766201</t>
  </si>
  <si>
    <t>Přesun hmot pro konstrukce truhlářské stanovený procentní sazbou (%) z ceny vodorovná dopravní vzdálenost do 50 m v objektech výšky do 6 m</t>
  </si>
  <si>
    <t>843008086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</si>
  <si>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</si>
  <si>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998766292</t>
  </si>
  <si>
    <t>Přesun hmot pro konstrukce truhlářské stanovený procentní sazbou (%) z ceny Příplatek k cenám za zvětšený přesun přes vymezenou největší dopravní vzdálenost do 100 m</t>
  </si>
  <si>
    <t>-1469957862</t>
  </si>
  <si>
    <t>5976144-A</t>
  </si>
  <si>
    <t>Poznámka k položce:
PŘESNÁ SPECIFIKACE VÝROBKU (DLAŽBA - TYP A) - VIZ ČÁSTi PD - D.2. INTERIÉROVÉ ŘEŠENÍ</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</si>
  <si>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</si>
  <si>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775541161</t>
  </si>
  <si>
    <t>-992681161</t>
  </si>
  <si>
    <t>2841106R</t>
  </si>
  <si>
    <t>1484893899</t>
  </si>
  <si>
    <t>Poznámka k položce:
PŘESNÁ SPECIFIKACE VÝROBKU - VIZ ČÁST PD D.2. INTERIÉROVÉ ŘEŠENÍ</t>
  </si>
  <si>
    <t>775413401</t>
  </si>
  <si>
    <t>Montáž lišty obvodové lepené</t>
  </si>
  <si>
    <t>1975626843</t>
  </si>
  <si>
    <t xml:space="preserve">Poznámka k souboru cen:
1. V cenách 775 41- . . nejsou započteny náklady na dodání lišt, tyto se oceňují ve specifikaci; ztratné lze dohodnout v přiměřené výši.
</t>
  </si>
  <si>
    <t>2841100R</t>
  </si>
  <si>
    <t>lišta soklová PVC v. 40 mm, povrch : fólie s dekorem běleného dubu</t>
  </si>
  <si>
    <t>1702987835</t>
  </si>
  <si>
    <t>775429121</t>
  </si>
  <si>
    <t>Montáž lišty přechodové (vyrovnávací) připevněné vruty</t>
  </si>
  <si>
    <t>-1215505501</t>
  </si>
  <si>
    <t xml:space="preserve">Poznámka k souboru cen:
1. V ceně 775 42-9 . nejsou započteny náklady na dodání lišt, montážních spon nebo montážních základních profilů. Tyto náklady se oceňují ve specifikaci; ztratné lze dohodnout v přiměřené výši.
</t>
  </si>
  <si>
    <t>5534311R</t>
  </si>
  <si>
    <t>profil přechodový Al</t>
  </si>
  <si>
    <t>-1631797190</t>
  </si>
  <si>
    <t>998775201</t>
  </si>
  <si>
    <t>-225213488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</si>
  <si>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</si>
  <si>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998775292</t>
  </si>
  <si>
    <t>1996538320</t>
  </si>
  <si>
    <t>776</t>
  </si>
  <si>
    <t>Podlahy povlakové</t>
  </si>
  <si>
    <t>776201811</t>
  </si>
  <si>
    <t>Demontáž povlakových podlahovin lepených ručně bez podložky</t>
  </si>
  <si>
    <t>-215420042</t>
  </si>
  <si>
    <t>Poznámka k položce:
POLOŽKA KALKULOVÁNA VČETNĚ OBVODOVÝCH SOKLÍKŮ !!!</t>
  </si>
  <si>
    <t>781</t>
  </si>
  <si>
    <t>Dokončovací práce - obklady</t>
  </si>
  <si>
    <t>781111011</t>
  </si>
  <si>
    <t>Příprava podkladu před provedením obkladu oprášení (ometení) stěny</t>
  </si>
  <si>
    <t>-56374503</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</si>
  <si>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</si>
  <si>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781121011</t>
  </si>
  <si>
    <t>Příprava podkladu před provedením obkladu nátěr penetrační na stěnu</t>
  </si>
  <si>
    <t>2076342077</t>
  </si>
  <si>
    <t>781131112</t>
  </si>
  <si>
    <t>Izolace stěny pod obklad izolace nátěrem nebo stěrkou ve dvou vrstvách</t>
  </si>
  <si>
    <t>572413422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</si>
  <si>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</si>
  <si>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781474163</t>
  </si>
  <si>
    <t>Montáž obkladů vnitřních stěn z dlaždic keramických lepených flexibilním lepidlem velkoformátových reliéfních nebo z dekorů přes 2 do 4 ks/m2</t>
  </si>
  <si>
    <t>724065664</t>
  </si>
  <si>
    <t xml:space="preserve">Poznámka k souboru cen:
1. Položky jsou určeny pro všechny druhy povrchových úprav.
</t>
  </si>
  <si>
    <t>-34058773</t>
  </si>
  <si>
    <t>781474164</t>
  </si>
  <si>
    <t>Montáž obkladů vnitřních stěn z dlaždic keramických lepených flexibilním lepidlem velkoformátových reliéfních nebo z dekorů přes 4 do 6 ks/m2</t>
  </si>
  <si>
    <t>-99851355</t>
  </si>
  <si>
    <t>781477111</t>
  </si>
  <si>
    <t>Montáž obkladů vnitřních stěn z dlaždic keramických Příplatek k cenám za plochu do 10 m2 jednotlivě</t>
  </si>
  <si>
    <t>-1718366364</t>
  </si>
  <si>
    <t>781477115</t>
  </si>
  <si>
    <t>Montáž obkladů vnitřních stěn z dlaždic keramických Příplatek k cenám za dvousložkové lepidlo</t>
  </si>
  <si>
    <t>-91273737</t>
  </si>
  <si>
    <t>781494111</t>
  </si>
  <si>
    <t>Obklad - dokončující práce profily ukončovací lepené flexibilním lepidlem rohové</t>
  </si>
  <si>
    <t>1858970542</t>
  </si>
  <si>
    <t xml:space="preserve">Poznámka k souboru cen:
1. Množství měrných jednotek u ceny -5185 se stanoví podle počtu řezaných obkladaček, nezávisle na jejich velikosti.
2. Položku -5185 lze použít při nuceném použití jiného nástroje než řezačky.
</t>
  </si>
  <si>
    <t>781494511</t>
  </si>
  <si>
    <t>Obklad - dokončující práce profily ukončovací lepené flexibilním lepidlem ukončovací</t>
  </si>
  <si>
    <t>-1901386537</t>
  </si>
  <si>
    <t>781495141</t>
  </si>
  <si>
    <t>Obklad - dokončující práce průnik obkladem kruhový, bez izolace do DN 30</t>
  </si>
  <si>
    <t>868169512</t>
  </si>
  <si>
    <t>781495142</t>
  </si>
  <si>
    <t>Obklad - dokončující práce průnik obkladem kruhový, bez izolace přes DN 30 do DN 90</t>
  </si>
  <si>
    <t>-854211338</t>
  </si>
  <si>
    <t>998781201</t>
  </si>
  <si>
    <t>Přesun hmot pro obklady keramické stanovený procentní sazbou (%) z ceny vodorovná dopravní vzdálenost do 50 m v objektech výšky do 6 m</t>
  </si>
  <si>
    <t>-237025991</t>
  </si>
  <si>
    <t>998781292</t>
  </si>
  <si>
    <t>Přesun hmot pro obklady keramické stanovený procentní sazbou (%) z ceny Příplatek k cenám za zvětšený přesun přes vymezenou největší dopravní vzdálenost do 100 m</t>
  </si>
  <si>
    <t>-1762189540</t>
  </si>
  <si>
    <t>783</t>
  </si>
  <si>
    <t>Dokončovací práce - nátěry</t>
  </si>
  <si>
    <t>783-R1-90</t>
  </si>
  <si>
    <t>Očištění a nátěr nových zárubní rozm. 90/197 cm</t>
  </si>
  <si>
    <t>-647354315</t>
  </si>
  <si>
    <t>784</t>
  </si>
  <si>
    <t>Dokončovací práce - malby a tapety</t>
  </si>
  <si>
    <t>784171101</t>
  </si>
  <si>
    <t>Zakrytí nemalovaných ploch (materiál ve specifikaci) včetně pozdějšího odkrytí podlah</t>
  </si>
  <si>
    <t>644380717</t>
  </si>
  <si>
    <t xml:space="preserve">Poznámka k souboru cen:
1. V cenách nejsou započteny náklady na dodávku fólie, tyto se oceňují ve speifikaci.Ztratné lze stanovit ve výši 5%.
</t>
  </si>
  <si>
    <t>58124844</t>
  </si>
  <si>
    <t>fólie pro malířské potřeby zakrývací tl 25µ 4x5m</t>
  </si>
  <si>
    <t>-255626560</t>
  </si>
  <si>
    <t>784171111</t>
  </si>
  <si>
    <t>Zakrytí nemalovaných ploch (materiál ve specifikaci) včetně pozdějšího odkrytí svislých ploch např. stěn, oken, dveří v místnostech výšky do 3,80</t>
  </si>
  <si>
    <t>-55691107</t>
  </si>
  <si>
    <t>-1424907734</t>
  </si>
  <si>
    <t>784111001</t>
  </si>
  <si>
    <t>Oprášení (ometení) podkladu v místnostech výšky do 3,80 m</t>
  </si>
  <si>
    <t>-433019355</t>
  </si>
  <si>
    <t>784181121</t>
  </si>
  <si>
    <t>Penetrace podkladu jednonásobná hloubková v místnostech výšky do 3,80 m</t>
  </si>
  <si>
    <t>-1151892264</t>
  </si>
  <si>
    <t>784211101</t>
  </si>
  <si>
    <t>Malby z malířských směsí otěruvzdorných za mokra dvojnásobné, bílé za mokra otěruvzdorné výborně v místnostech výšky do 3,80 m</t>
  </si>
  <si>
    <t>1837937966</t>
  </si>
  <si>
    <t>784191001</t>
  </si>
  <si>
    <t>Čištění vnitřních ploch hrubý úklid po provedení malířských prací omytím oken nebo balkonových dveří jednoduchých</t>
  </si>
  <si>
    <t>941368006</t>
  </si>
  <si>
    <t>784191005</t>
  </si>
  <si>
    <t>Čištění vnitřních ploch hrubý úklid po provedení malířských prací omytím dveří nebo vrat</t>
  </si>
  <si>
    <t>-577267802</t>
  </si>
  <si>
    <t>784191007</t>
  </si>
  <si>
    <t>Čištění vnitřních ploch hrubý úklid po provedení malířských prací omytím podlah</t>
  </si>
  <si>
    <t>-976032315</t>
  </si>
  <si>
    <t>02 - Zdravotechnika</t>
  </si>
  <si>
    <t xml:space="preserve">    721 - Zdravotechnika - vnitřní kanalizace</t>
  </si>
  <si>
    <t xml:space="preserve">    722 - Zdravotechnika - vnitřní vodovod</t>
  </si>
  <si>
    <t xml:space="preserve">    725 - Zdravotechnika - zařizovací předměty</t>
  </si>
  <si>
    <t>HZS - Hodinové zúčtovací sazby</t>
  </si>
  <si>
    <t>VRN - Vedlejší rozpočtové náklady</t>
  </si>
  <si>
    <t>310235241</t>
  </si>
  <si>
    <t>Zazdívka otvorů ve zdivu nadzákladovém cihlami pálenými plochy do 0,0225 m2, ve zdi tl. do 300 mm</t>
  </si>
  <si>
    <t>310235251</t>
  </si>
  <si>
    <t>Zazdívka otvorů ve zdivu nadzákladovém cihlami pálenými plochy do 0,0225 m2, ve zdi tl. přes 300 do 450 mm</t>
  </si>
  <si>
    <t>612135101</t>
  </si>
  <si>
    <t>Hrubá výplň rýh maltou jakékoli šířky rýhy ve stěnách</t>
  </si>
  <si>
    <t>867751474</t>
  </si>
  <si>
    <t xml:space="preserve">Poznámka k souboru cen:
1. V cenách nejsou započteny náklady na omítku rýh, tyto se ocení příšlušnými cenami tohoto katalogu.
</t>
  </si>
  <si>
    <t>612325111</t>
  </si>
  <si>
    <t>Vápenocementová omítka rýh hladká ve stěnách, šířky rýhy do 150 mm</t>
  </si>
  <si>
    <t>553554521</t>
  </si>
  <si>
    <t>974031153</t>
  </si>
  <si>
    <t>Vysekání rýh ve zdivu cihelném na maltu vápennou nebo vápenocementovou do hl. 100 mm a šířky do 100 mm</t>
  </si>
  <si>
    <t>1322949264</t>
  </si>
  <si>
    <t>974031164</t>
  </si>
  <si>
    <t>Vysekání rýh ve zdivu cihelném na maltu vápennou nebo vápenocementovou do hl. 150 mm a šířky do 150 mm</t>
  </si>
  <si>
    <t>-2028132188</t>
  </si>
  <si>
    <t>2145229452</t>
  </si>
  <si>
    <t>-989227766</t>
  </si>
  <si>
    <t>339049798</t>
  </si>
  <si>
    <t>-815960289</t>
  </si>
  <si>
    <t>-1697082780</t>
  </si>
  <si>
    <t>997-R1</t>
  </si>
  <si>
    <t>Likvidace demontovaného materiálu z původních rozvodů včetně příslušenství</t>
  </si>
  <si>
    <t>soubor</t>
  </si>
  <si>
    <t>-714114331</t>
  </si>
  <si>
    <t>1724199836</t>
  </si>
  <si>
    <t>721</t>
  </si>
  <si>
    <t>Zdravotechnika - vnitřní kanalizace</t>
  </si>
  <si>
    <t>721174043</t>
  </si>
  <si>
    <t>Potrubí z trub polypropylenových připojovací DN 50</t>
  </si>
  <si>
    <t>-666190538</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</si>
  <si>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</si>
  <si>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721194105</t>
  </si>
  <si>
    <t>Vyměření přípojek na potrubí vyvedení a upevnění odpadních výpustek DN 50</t>
  </si>
  <si>
    <t>506099947</t>
  </si>
  <si>
    <t xml:space="preserve">Poznámka k souboru cen:
1. Cenami lze oceňovat i vyvedení a upevnění odpadních výpustek ke strojům a zařízením.
2. Potrubí odpadních výpustek se oceňují cenami souboru cen 721 17- . . Potrubí z plastových trub, části A 01.
</t>
  </si>
  <si>
    <t>721290111</t>
  </si>
  <si>
    <t>Zkouška těsnosti kanalizace v objektech vodou do DN 125</t>
  </si>
  <si>
    <t>-497077051</t>
  </si>
  <si>
    <t>998721201</t>
  </si>
  <si>
    <t>Přesun hmot pro vnitřní kanalizace stanovený procentní sazbou (%) z ceny vodorovná dopravní vzdálenost do 50 m v objektech výšky do 6 m</t>
  </si>
  <si>
    <t>-1543765637</t>
  </si>
  <si>
    <t>998721292</t>
  </si>
  <si>
    <t>Přesun hmot pro vnitřní kanalizace stanovený procentní sazbou (%) z ceny Příplatek k cenám za zvětšený přesun přes vymezenou největší dopravní vzdálenost do 100 m</t>
  </si>
  <si>
    <t>-183451150</t>
  </si>
  <si>
    <t>722</t>
  </si>
  <si>
    <t>Zdravotechnika - vnitřní vodovod</t>
  </si>
  <si>
    <t>722174001</t>
  </si>
  <si>
    <t>Potrubí z plastových trubek z polypropylenu PPR svařovaných polyfuzně PN 16 (SDR 7,4) D 16 x 2,2</t>
  </si>
  <si>
    <t>-170653446</t>
  </si>
  <si>
    <t>722181251</t>
  </si>
  <si>
    <t>Ochrana potrubí termoizolačními trubicemi z pěnového polyetylenu PE přilepenými v příčných a podélných spojích, tloušťky izolace přes 20 do 25 mm, vnitřního průměru izolace DN do 22 mm</t>
  </si>
  <si>
    <t>1033824846</t>
  </si>
  <si>
    <t xml:space="preserve">Poznámka k souboru cen:
1. V cenách -1211 až -1256 jsou započteny i náklady na dodání tepelně izolačních trubic.
</t>
  </si>
  <si>
    <t>722220151</t>
  </si>
  <si>
    <t>Armatury s jedním závitem plastové (PPR) PN 20 (SDR 6) DN 16 x G 1/2"</t>
  </si>
  <si>
    <t>1170757479</t>
  </si>
  <si>
    <t xml:space="preserve">Poznámka k souboru cen:
1. Cenami -9101 až -9108 nelze oceňovat montáž nástěnek.
2. V cenách –0111 až -0122 je započteno i vyvedení a upevnění výpustek.
</t>
  </si>
  <si>
    <t>722232171</t>
  </si>
  <si>
    <t>Armatury se dvěma závity kulové kohouty PN 42 do 185 °C rohové plnoprůtokové vnější a vnitřní závit G 1/2"</t>
  </si>
  <si>
    <t>1446811159</t>
  </si>
  <si>
    <t>722290226</t>
  </si>
  <si>
    <t>Zkoušky, proplach a desinfekce vodovodního potrubí zkoušky těsnosti vodovodního potrubí závitového do DN 50</t>
  </si>
  <si>
    <t>1709706836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</si>
  <si>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</si>
  <si>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998722201</t>
  </si>
  <si>
    <t>Přesun hmot pro vnitřní vodovod stanovený procentní sazbou (%) z ceny vodorovná dopravní vzdálenost do 50 m v objektech výšky do 6 m</t>
  </si>
  <si>
    <t>-1933645215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</si>
  <si>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</si>
  <si>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998722292</t>
  </si>
  <si>
    <t>Přesun hmot pro vnitřní vodovod stanovený procentní sazbou (%) z ceny Příplatek k cenám za zvětšený přesun přes vymezenou největší dopravní vzdálenost do 100 m</t>
  </si>
  <si>
    <t>-1988389283</t>
  </si>
  <si>
    <t>725</t>
  </si>
  <si>
    <t>Zdravotechnika - zařizovací předměty</t>
  </si>
  <si>
    <t>725210821</t>
  </si>
  <si>
    <t>Demontáž umyvadel bez výtokových armatur umyvadel</t>
  </si>
  <si>
    <t>-1778527259</t>
  </si>
  <si>
    <t>725820801</t>
  </si>
  <si>
    <t>Demontáž baterií nástěnných do G 3/4</t>
  </si>
  <si>
    <t>-380954308</t>
  </si>
  <si>
    <t>viz předchozí výpočtxy</t>
  </si>
  <si>
    <t>725860811</t>
  </si>
  <si>
    <t>Demontáž zápachových uzávěrek pro zařizovací předměty jednoduchých</t>
  </si>
  <si>
    <t>1403232781</t>
  </si>
  <si>
    <t>725590811</t>
  </si>
  <si>
    <t>Vnitrostaveništní přemístění vybouraných (demontovaných) hmot zařizovacích předmětů vodorovně do 100 m v objektech výšky do 6 m</t>
  </si>
  <si>
    <t>552204479</t>
  </si>
  <si>
    <t>725219102</t>
  </si>
  <si>
    <t>-733630421</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</si>
  <si>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</si>
  <si>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UM</t>
  </si>
  <si>
    <t>-584653164</t>
  </si>
  <si>
    <t>725829131</t>
  </si>
  <si>
    <t>-1302317372</t>
  </si>
  <si>
    <t xml:space="preserve">Poznámka k souboru cen:
1. V cenách –2654, 56, -9101-9202 není započten napájecí zdroj.
</t>
  </si>
  <si>
    <t>UM-BAT</t>
  </si>
  <si>
    <t>1511030170</t>
  </si>
  <si>
    <t>725861102</t>
  </si>
  <si>
    <t>Zápachové uzávěrky zařizovacích předmětů pro umyvadla DN 40</t>
  </si>
  <si>
    <t>-967770513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</si>
  <si>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</si>
  <si>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</si>
  <si>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</si>
  <si>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-1516303560</t>
  </si>
  <si>
    <t>998725201</t>
  </si>
  <si>
    <t>Přesun hmot pro zařizovací předměty stanovený procentní sazbou (%) z ceny vodorovná dopravní vzdálenost do 50 m v objektech výšky do 6 m</t>
  </si>
  <si>
    <t>-113231773</t>
  </si>
  <si>
    <t>998725292</t>
  </si>
  <si>
    <t>Přesun hmot pro zařizovací předměty stanovený procentní sazbou (%) z ceny Příplatek k cenám za zvětšený přesun přes vymezenou největší dopravní vzdálenost do 100 m</t>
  </si>
  <si>
    <t>-199275421</t>
  </si>
  <si>
    <t>HZS</t>
  </si>
  <si>
    <t>Hodinové zúčtovací sazby</t>
  </si>
  <si>
    <t>HZS1301</t>
  </si>
  <si>
    <t>Hodinové zúčtovací sazby profesí HSV provádění konstrukcí zedník</t>
  </si>
  <si>
    <t>hod</t>
  </si>
  <si>
    <t>512</t>
  </si>
  <si>
    <t>-1696625970</t>
  </si>
  <si>
    <t>Poznámka k položce:
OSTATNÍ ZEDNICKÉ ZAČIŠTĚNÍ PROSTUPŮ, apod.</t>
  </si>
  <si>
    <t>Vedlejší rozpočtové náklady</t>
  </si>
  <si>
    <t>Finanční náklady</t>
  </si>
  <si>
    <t>052103000</t>
  </si>
  <si>
    <t>Kč</t>
  </si>
  <si>
    <t>1024</t>
  </si>
  <si>
    <t>03 - Vytápění</t>
  </si>
  <si>
    <t xml:space="preserve">    733 - Ústřední vytápění - rozvodné potrubí</t>
  </si>
  <si>
    <t xml:space="preserve">    734 - Ústřední vytápění - armatury</t>
  </si>
  <si>
    <t xml:space="preserve">    735 - Ústřední vytápění - otopná tělesa</t>
  </si>
  <si>
    <t>viz výkr. Půdorys rozvodů ústředního vytápění</t>
  </si>
  <si>
    <t>733</t>
  </si>
  <si>
    <t>Ústřední vytápění - rozvodné potrubí</t>
  </si>
  <si>
    <t>733223202</t>
  </si>
  <si>
    <t>Potrubí z trubek měděných tvrdých spojovaných tvrdým pájením Ø 15/1</t>
  </si>
  <si>
    <t>1852287804</t>
  </si>
  <si>
    <t>733291101</t>
  </si>
  <si>
    <t>Zkoušky těsnosti potrubí z trubek měděných Ø do 35/1,5</t>
  </si>
  <si>
    <t>-1298925207</t>
  </si>
  <si>
    <t>733811251</t>
  </si>
  <si>
    <t>Ochrana potrubí termoizolačními trubicemi z pěnového polyetylenu PE přilepenými v příčných a podélných spojích, tloušťky izolace přes 20 do 25 mm, vnitřního průměru izolace DN do 22 mm</t>
  </si>
  <si>
    <t>1080676487</t>
  </si>
  <si>
    <t>998733201</t>
  </si>
  <si>
    <t>Přesun hmot pro rozvody potrubí stanovený procentní sazbou z ceny vodorovná dopravní vzdálenost do 50 m v objektech výšky do 6 m</t>
  </si>
  <si>
    <t>-1884201636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</si>
  <si>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</si>
  <si>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998733293</t>
  </si>
  <si>
    <t>Přesun hmot pro rozvody potrubí stanovený procentní sazbou z ceny Příplatek k cenám za zvětšený přesun přes vymezenou největší dopravní vzdálenost do 500 m</t>
  </si>
  <si>
    <t>217608367</t>
  </si>
  <si>
    <t>734</t>
  </si>
  <si>
    <t>Ústřední vytápění - armatury</t>
  </si>
  <si>
    <t>734221545</t>
  </si>
  <si>
    <t>Ventily regulační závitové termostatické, bez hlavice ovládání PN 16 do 110°C přímé jednoregulační G 1/2</t>
  </si>
  <si>
    <t>1928913723</t>
  </si>
  <si>
    <t xml:space="preserve">Poznámka k souboru cen: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</si>
  <si>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</si>
  <si>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110°C kapalinové otopných těles VK</t>
  </si>
  <si>
    <t>1654519201</t>
  </si>
  <si>
    <t>734261402</t>
  </si>
  <si>
    <t>Šroubení připojovací armatury radiátorů VK PN 10 do 110°C, regulační uzavíratelné rohové G 1/2 x 18</t>
  </si>
  <si>
    <t>1692481452</t>
  </si>
  <si>
    <t>998734201</t>
  </si>
  <si>
    <t>Přesun hmot pro armatury stanovený procentní sazbou (%) z ceny vodorovná dopravní vzdálenost do 50 m v objektech výšky do 6 m</t>
  </si>
  <si>
    <t>708631258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</si>
  <si>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</si>
  <si>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998734293</t>
  </si>
  <si>
    <t>Přesun hmot pro armatury stanovený procentní sazbou (%) z ceny Příplatek k cenám za zvětšený přesun přes vymezenou největší dopravní vzdálenost do 500 m</t>
  </si>
  <si>
    <t>2076861952</t>
  </si>
  <si>
    <t>735</t>
  </si>
  <si>
    <t>Ústřední vytápění - otopná tělesa</t>
  </si>
  <si>
    <t xml:space="preserve">Poznámka k souboru cen:
1. Ceny lze použít pro jakýkoli způsob připojení.
</t>
  </si>
  <si>
    <t>735151577</t>
  </si>
  <si>
    <t>-1616496460</t>
  </si>
  <si>
    <t>998735201</t>
  </si>
  <si>
    <t>Přesun hmot pro otopná tělesa stanovený procentní sazbou (%) z ceny vodorovná dopravní vzdálenost do 50 m v objektech výšky do 6 m</t>
  </si>
  <si>
    <t>670834304</t>
  </si>
  <si>
    <t>998735293</t>
  </si>
  <si>
    <t>Přesun hmot pro otopná tělesa stanovený procentní sazbou (%) z ceny Příplatek k cenám za zvětšený přesun přes vymezenou největší dopravní vzdálenost do 500 m</t>
  </si>
  <si>
    <t>-916510295</t>
  </si>
  <si>
    <t>783601713</t>
  </si>
  <si>
    <t>Příprava podkladu armatur a kovových potrubí před provedením nátěru potrubí do DN 50 mm odmaštěním, odmašťovačem vodou ředitelným</t>
  </si>
  <si>
    <t>2110744487</t>
  </si>
  <si>
    <t>783614551</t>
  </si>
  <si>
    <t>Základní nátěr armatur a kovových potrubí jednonásobný potrubí do DN 50 mm syntetický</t>
  </si>
  <si>
    <t>-1402871947</t>
  </si>
  <si>
    <t>HZS2211</t>
  </si>
  <si>
    <t>Hodinové zúčtovací sazby profesí PSV provádění stavebních instalací instalatér</t>
  </si>
  <si>
    <t>1482663234</t>
  </si>
  <si>
    <t>Poznámka k položce:
DEMONTÁŽ STÁVAJÍCÍCH ROZVODŮ VYTÁPĚNÍ VČETNĚ OTOPNÝCH TĚLES</t>
  </si>
  <si>
    <t>HZS2212</t>
  </si>
  <si>
    <t>Hodinové zúčtovací sazby profesí PSV provádění stavebních instalací instalatér odborný</t>
  </si>
  <si>
    <t>-1092641172</t>
  </si>
  <si>
    <t>Poznámka k položce:
TOPNÁ ZKOUŠKA apod.</t>
  </si>
  <si>
    <t>04 - Elektroinstalace</t>
  </si>
  <si>
    <t xml:space="preserve">    741 - Elektroinstalace - silnoproud</t>
  </si>
  <si>
    <t xml:space="preserve">    742 - Elektroinstalace - slaboproud</t>
  </si>
  <si>
    <t>1220265776</t>
  </si>
  <si>
    <t>-1150565892</t>
  </si>
  <si>
    <t>1189641557</t>
  </si>
  <si>
    <t>971033151</t>
  </si>
  <si>
    <t>Vybourání otvorů ve zdivu základovém nebo nadzákladovém z cihel, tvárnic, příčkovek z cihel pálených na maltu vápennou nebo vápenocementovou průměru profilu do 60 mm, tl. do 450 mm</t>
  </si>
  <si>
    <t>62546605</t>
  </si>
  <si>
    <t>974031142</t>
  </si>
  <si>
    <t>Vysekání rýh ve zdivu cihelném na maltu vápennou nebo vápenocementovou do hl. 70 mm a šířky do 70 mm</t>
  </si>
  <si>
    <t>538766252</t>
  </si>
  <si>
    <t>-536592592</t>
  </si>
  <si>
    <t>-1661316381</t>
  </si>
  <si>
    <t>-2113245925</t>
  </si>
  <si>
    <t>1690936797</t>
  </si>
  <si>
    <t>-2103603014</t>
  </si>
  <si>
    <t>-1564165786</t>
  </si>
  <si>
    <t>-1275672163</t>
  </si>
  <si>
    <t>741</t>
  </si>
  <si>
    <t>Elektroinstalace - silnoproud</t>
  </si>
  <si>
    <t>741112001</t>
  </si>
  <si>
    <t>Montáž krabic elektroinstalačních bez napojení na trubky a lišty, demontáže a montáže víčka a přístroje protahovacích nebo odbočných zapuštěných plastových kruhových</t>
  </si>
  <si>
    <t>2114522363</t>
  </si>
  <si>
    <t>34571519</t>
  </si>
  <si>
    <t>krabice univerzální odbočná z PH s víčkem, D 73,5mmx43mm</t>
  </si>
  <si>
    <t>97838674</t>
  </si>
  <si>
    <t>741112061</t>
  </si>
  <si>
    <t>Montáž krabic elektroinstalačních bez napojení na trubky a lišty, demontáže a montáže víčka a přístroje přístrojových zapuštěných plastových kruhových</t>
  </si>
  <si>
    <t>1334145257</t>
  </si>
  <si>
    <t>34571512</t>
  </si>
  <si>
    <t>krabice přístrojová instalační 500V, 71x71x42mm</t>
  </si>
  <si>
    <t>-1105819999</t>
  </si>
  <si>
    <t>741122015</t>
  </si>
  <si>
    <t>Montáž kabelů měděných bez ukončení uložených pod omítku plných kulatých (např. CYKY), počtu a průřezu žil 3x1,5 mm2</t>
  </si>
  <si>
    <t>1254293984</t>
  </si>
  <si>
    <t>34111030</t>
  </si>
  <si>
    <t>kabel silový s Cu jádrem 1kV 3x1,5mm2 (CYKY)</t>
  </si>
  <si>
    <t>871887632</t>
  </si>
  <si>
    <t>741122016</t>
  </si>
  <si>
    <t>Montáž kabelů měděných bez ukončení uložených pod omítku plných kulatých (např. CYKY), počtu a průřezu žil 3x2,5 až 6 mm2</t>
  </si>
  <si>
    <t>-480609978</t>
  </si>
  <si>
    <t>34111036</t>
  </si>
  <si>
    <t>kabel silový s Cu jádrem 1kV 3x2,5mm2 (CYKY)</t>
  </si>
  <si>
    <t>795344291</t>
  </si>
  <si>
    <t>741310001</t>
  </si>
  <si>
    <t>Montáž spínačů jedno nebo dvoupólových nástěnných se zapojením vodičů, pro prostředí normální vypínačů, řazení 1-jednopólových</t>
  </si>
  <si>
    <t>1618254478</t>
  </si>
  <si>
    <t>34535512</t>
  </si>
  <si>
    <t>spínač jednopólový 10A bílý</t>
  </si>
  <si>
    <t>-1749475215</t>
  </si>
  <si>
    <t>Poznámka k položce:
KOMPLETNÍ - VČ. RÁMEČKU</t>
  </si>
  <si>
    <t>39950256</t>
  </si>
  <si>
    <t>-1484679708</t>
  </si>
  <si>
    <t>741313043</t>
  </si>
  <si>
    <t>Montáž zásuvek domovních se zapojením vodičů šroubové připojení polozapuštěných nebo zapuštěných 10/16 A, provedení 2x (2P + PE) dvojnásobná</t>
  </si>
  <si>
    <t>-1193999202</t>
  </si>
  <si>
    <t>34555120</t>
  </si>
  <si>
    <t>zásuvka 2násobná 16A bílá</t>
  </si>
  <si>
    <t>1152541651</t>
  </si>
  <si>
    <t>741372051</t>
  </si>
  <si>
    <t>Montáž svítidel LED se zapojením vodičů bytových nebo společenských místností přisazených stropních bez pohybového čidla</t>
  </si>
  <si>
    <t>-1935511544</t>
  </si>
  <si>
    <t>TYP 1</t>
  </si>
  <si>
    <t>LED svítidlo stropní, 14 W</t>
  </si>
  <si>
    <t>-2112223084</t>
  </si>
  <si>
    <t>741372012</t>
  </si>
  <si>
    <t>Montáž svítidel LED se zapojením vodičů bytových nebo společenských místností přisazených nástěnných bez pohybového čidla</t>
  </si>
  <si>
    <t>1999493770</t>
  </si>
  <si>
    <t>TYP 3</t>
  </si>
  <si>
    <t>2001624217</t>
  </si>
  <si>
    <t>741-R1</t>
  </si>
  <si>
    <t>-1922194802</t>
  </si>
  <si>
    <t>741810001</t>
  </si>
  <si>
    <t>Zkoušky a prohlídky elektrických rozvodů a zařízení celková prohlídka a vyhotovení revizní zprávy pro objem montážních prací do 100 tis. Kč</t>
  </si>
  <si>
    <t>1565412712</t>
  </si>
  <si>
    <t xml:space="preserve">Poznámka k souboru cen:
1. Ceny -0001 až -0011 jsou určeny pro objem montážních prací včetně všech nákladů.
</t>
  </si>
  <si>
    <t>998741201</t>
  </si>
  <si>
    <t>Přesun hmot pro silnoproud stanovený procentní sazbou (%) z ceny vodorovná dopravní vzdálenost do 50 m v objektech výšky do 6 m</t>
  </si>
  <si>
    <t>1900453161</t>
  </si>
  <si>
    <t>998741292</t>
  </si>
  <si>
    <t>Přesun hmot pro silnoproud stanovený procentní sazbou (%) z ceny Příplatek k cenám za zvětšený přesun přes vymezenou největší dopravní vzdálenost do 100 m</t>
  </si>
  <si>
    <t>298628023</t>
  </si>
  <si>
    <t>742</t>
  </si>
  <si>
    <t>Elektroinstalace - slaboproud</t>
  </si>
  <si>
    <t>742121001</t>
  </si>
  <si>
    <t>Montáž kabelů sdělovacích pro vnitřní rozvody počtu žil do 15</t>
  </si>
  <si>
    <t>301606654</t>
  </si>
  <si>
    <t xml:space="preserve">Poznámka k souboru cen:
1. Ceny lze použít i pro ocenění koaxiálních kabelů.
</t>
  </si>
  <si>
    <t>34121044</t>
  </si>
  <si>
    <t>kabel sdělovací s Cu jádrem 2x2x0,5mm (SYKFY)</t>
  </si>
  <si>
    <t>-1989794019</t>
  </si>
  <si>
    <t>742122001</t>
  </si>
  <si>
    <t>Montáž kabelové spojky nebo svorkovnice do 15 žil</t>
  </si>
  <si>
    <t>-1180351557</t>
  </si>
  <si>
    <t>35436031</t>
  </si>
  <si>
    <t>spojka kabelová smršťovaná přímá do 1kV  91ahsc-95 3-4ž.x50-95mm</t>
  </si>
  <si>
    <t>1049222179</t>
  </si>
  <si>
    <t>742330041</t>
  </si>
  <si>
    <t>Montáž strukturované kabeláže zásuvek datových pod omítku, do nábytku, do parapetního žlabu nebo podlahové krabice jednozásuvky</t>
  </si>
  <si>
    <t>-2060890594</t>
  </si>
  <si>
    <t>8500048098</t>
  </si>
  <si>
    <t>Zásuvka datová CAT6 UTP 2xRJ45, Solarix</t>
  </si>
  <si>
    <t>-1789923884</t>
  </si>
  <si>
    <t>742330051</t>
  </si>
  <si>
    <t>Montáž strukturované kabeláže zásuvek datových popis portu zásuvky</t>
  </si>
  <si>
    <t>-2104405523</t>
  </si>
  <si>
    <t>998742201</t>
  </si>
  <si>
    <t>Přesun hmot pro slaboproud stanovený procentní sazbou (%) z ceny vodorovná dopravní vzdálenost do 50 m v objektech výšky do 6 m</t>
  </si>
  <si>
    <t>-410145268</t>
  </si>
  <si>
    <t>998742292</t>
  </si>
  <si>
    <t>Přesun hmot pro slaboproud stanovený procentní sazbou (%) z ceny Příplatek k cenám za zvětšený přesun přes vymezenou největší dopravní vzdálenost do 100 m</t>
  </si>
  <si>
    <t>-752991768</t>
  </si>
  <si>
    <t>282031258</t>
  </si>
  <si>
    <t>HZS2221</t>
  </si>
  <si>
    <t>Hodinové zúčtovací sazby profesí PSV provádění stavebních instalací elektrikář</t>
  </si>
  <si>
    <t>-561391625</t>
  </si>
  <si>
    <t>Poznámka k položce:
DEMONTÁŽ STÁVAJÍCÍCH ROZVODŮ ELEKTROINSTALACE, VYPÍNAČŮ, ZÁSUVEK, SVÍTIDEL, apod.</t>
  </si>
  <si>
    <t>06 - Interiérové vybavení</t>
  </si>
  <si>
    <t>D.2.23</t>
  </si>
  <si>
    <t>915027429</t>
  </si>
  <si>
    <t>1702553220</t>
  </si>
  <si>
    <t>-2055651550</t>
  </si>
  <si>
    <t>07 - VRN</t>
  </si>
  <si>
    <t>VRN1</t>
  </si>
  <si>
    <t>Zařízení staveniště</t>
  </si>
  <si>
    <t>030001000</t>
  </si>
  <si>
    <t>-1642595195</t>
  </si>
  <si>
    <t>Poznámka k položce:
Kompletní zařízení staveniště, jeho vybavení a provoz, včetně likvidace zařízení staveniště.</t>
  </si>
  <si>
    <t>598168295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</si>
  <si>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</si>
  <si>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</si>
  <si>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</si>
  <si>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</si>
  <si>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</si>
  <si>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</si>
  <si>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</si>
  <si>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</si>
  <si>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</si>
  <si>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</si>
  <si>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</si>
  <si>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</si>
  <si>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</si>
  <si>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</si>
  <si>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</si>
  <si>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</si>
  <si>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</si>
  <si>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</si>
  <si>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</si>
  <si>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</si>
  <si>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</si>
  <si>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</si>
  <si>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</si>
  <si>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</si>
  <si>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</si>
  <si>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</si>
  <si>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</si>
  <si>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</si>
  <si>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</si>
  <si>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</si>
  <si>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</si>
  <si>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</si>
  <si>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</si>
  <si>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</si>
  <si>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</si>
  <si>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</si>
  <si>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</si>
  <si>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</si>
  <si>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</si>
  <si>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</si>
  <si>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</si>
  <si>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</si>
  <si>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</si>
  <si>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</si>
  <si>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</si>
  <si>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</si>
  <si>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</si>
  <si>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</si>
  <si>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</si>
  <si>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</si>
  <si>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</si>
  <si>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</si>
  <si>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</si>
  <si>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</si>
  <si>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</si>
  <si>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</si>
  <si>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</si>
  <si>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</si>
  <si>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</si>
  <si>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</si>
  <si>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</si>
  <si>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</si>
  <si>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</si>
  <si>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</si>
  <si>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</si>
  <si>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</si>
  <si>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</si>
  <si>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</si>
  <si>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</si>
  <si>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</si>
  <si>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</si>
  <si>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</si>
  <si>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</si>
  <si>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</si>
  <si>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</si>
  <si>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</si>
  <si>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</si>
  <si>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</si>
  <si>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</si>
  <si>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</si>
  <si>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</si>
  <si>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</si>
  <si>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</si>
  <si>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</si>
  <si>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</si>
  <si>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</si>
  <si>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</si>
  <si>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</si>
  <si>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</si>
  <si>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</si>
  <si>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</si>
  <si>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</si>
  <si>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</si>
  <si>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</si>
  <si>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</si>
  <si>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</si>
  <si>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</si>
  <si>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</si>
  <si>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</si>
  <si>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</si>
  <si>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</si>
  <si>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</si>
  <si>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</si>
  <si>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</si>
  <si>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</si>
  <si>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</si>
  <si>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</si>
  <si>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</si>
  <si>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</si>
  <si>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</si>
  <si>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</si>
  <si>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</si>
  <si>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</si>
  <si>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</si>
  <si>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</si>
  <si>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</si>
  <si>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</si>
  <si>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</si>
  <si>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</si>
  <si>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</si>
  <si>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</si>
  <si>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</si>
  <si>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</si>
  <si>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</si>
  <si>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</si>
  <si>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</si>
  <si>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</si>
  <si>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</si>
  <si>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</si>
  <si>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</si>
  <si>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</si>
  <si>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</si>
  <si>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</si>
  <si>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</si>
  <si>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</si>
  <si>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</si>
  <si>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</si>
  <si>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</si>
  <si>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</si>
  <si>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</si>
  <si>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</si>
  <si>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</si>
  <si>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</si>
  <si>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</si>
  <si>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</si>
  <si>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</si>
  <si>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</si>
  <si>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</si>
  <si>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</si>
  <si>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</si>
  <si>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</si>
  <si>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</si>
  <si>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</si>
  <si>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</si>
  <si>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</si>
  <si>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</si>
  <si>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</si>
  <si>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</si>
  <si>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</si>
  <si>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</si>
  <si>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</si>
  <si>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</si>
  <si>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</si>
  <si>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</si>
  <si>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</si>
  <si>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</si>
  <si>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</si>
  <si>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</si>
  <si>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</si>
  <si>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</si>
  <si>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</si>
  <si>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</si>
  <si>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</si>
  <si>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</si>
  <si>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</si>
  <si>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</si>
  <si>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</si>
  <si>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</si>
  <si>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</si>
  <si>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</si>
  <si>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</si>
  <si>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</si>
  <si>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</si>
  <si>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</si>
  <si>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</si>
  <si>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</si>
  <si>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zátěžové PVC, min. zátěžová třída 42, tl. min 2,4mm , dekor : dub bělený</t>
  </si>
  <si>
    <t>Montáž podlah povlakových z PVC v rolích, celoplošně lepené</t>
  </si>
  <si>
    <t>Přesun hmot pro podlahy povlakové stanovený procentní sazbou (%) z ceny vodorovná dopravní vzdálenost do 50 m v objektech výšky do 6 m</t>
  </si>
  <si>
    <t>Přesun hmot pro podlahy povlakové stanovený procentní sazbou (%) z ceny Příplatek k cenám za zvětšený přesun přes vymezenou největší dopravní vzdálenost do 100 m</t>
  </si>
  <si>
    <t>LED svítidlo nástěnné zrcadlové, 9 W</t>
  </si>
  <si>
    <t xml:space="preserve">    VRN1 - Zařízení staveniště</t>
  </si>
  <si>
    <t xml:space="preserve">    VRN2 - Finanční náklady</t>
  </si>
  <si>
    <t>VRN2</t>
  </si>
  <si>
    <t>podlahová plocha</t>
  </si>
  <si>
    <t>"SDK podhledy"</t>
  </si>
  <si>
    <t>Rezerva investora (15.000,- Kč)</t>
  </si>
  <si>
    <t>Poznámka k položce:
Uchazeči vyplní částku ve výši 15.000,- Kč - REZERVA ČERPATELNÁ JEN SE SOUHLASEM INVESTORA !!!</t>
  </si>
  <si>
    <t>Poznámka k položce:
PODROBNÁ SPECIFIKACE VÝROBKU - VIZ ČÁST PD "D.1.1.4. - Výkres truhlářského výrobku kuchyňské linky</t>
  </si>
  <si>
    <t>Otopná tělesa panelová dvoudesková PN 1,0 MPa, T do 110°C se dvěma přídavnými přestupními plochami výšky tělesa 900 mm, stavební délky  1000 mm, výkonu 1619 W</t>
  </si>
  <si>
    <t>kanalizace</t>
  </si>
  <si>
    <t>vodovod teplá + studená</t>
  </si>
  <si>
    <t>viz výkr. Půdorys - kanalizace + 20 % rezerva</t>
  </si>
  <si>
    <t>viz výkr. Půdorys - vodovod</t>
  </si>
  <si>
    <t>viz výkr. Půdorys  - vodovod + 20 % rezerva</t>
  </si>
  <si>
    <t>viz výkr. Půdorys stavební části, vodovodu a kanalizace</t>
  </si>
  <si>
    <t>1+1</t>
  </si>
  <si>
    <t>741310005</t>
  </si>
  <si>
    <t>Montáž spínačů jedno nebo dvoupólových schodišťových nástěnných se zapojením vodičů, pro prostředí normální vypínačů, řazení 1-jednopólových</t>
  </si>
  <si>
    <t>8500143564</t>
  </si>
  <si>
    <t>spínač jednopólový schodišťový 10A bílý</t>
  </si>
  <si>
    <t>OSVĚTLENÍ KUCHYŇSKÉ LINKY : LED pásek, 8W, v liště, DODÁVKA A MONTÁŽ VČ. PŘÍSLUŠENSTVÍ (délka 2,40 m) - m.č. 101</t>
  </si>
  <si>
    <t>viz výkr. Půdorys  - elektroinstalace</t>
  </si>
  <si>
    <t>viz výkr. Půdorys - elektroinstalace</t>
  </si>
  <si>
    <t>mezi 101 a 102</t>
  </si>
  <si>
    <t>0,98*0,94</t>
  </si>
  <si>
    <t>971033651</t>
  </si>
  <si>
    <t>Vybourání otvorů ve zdivu základovém nebo nadzákladovém z cihel, tvárnic, příčkovek z cihel pálených na maltu vápennou nebo vápenocementovou plochy do 4 m2, tl. do 600 mm</t>
  </si>
  <si>
    <t>m3</t>
  </si>
  <si>
    <t>-891769829</t>
  </si>
  <si>
    <t>ubourání parapetu pod bouraným oknem</t>
  </si>
  <si>
    <t>0,35*0,98*1,05</t>
  </si>
  <si>
    <t>(3,25+0,43)*1,8</t>
  </si>
  <si>
    <t>(1,2+0,45)*1,5</t>
  </si>
  <si>
    <t>13,76+(0,25+0,25)*2,12</t>
  </si>
  <si>
    <t>17,47+(0,25+0,25)*3,06</t>
  </si>
  <si>
    <t>za kuchyňskou linkou v místnosti 101</t>
  </si>
  <si>
    <t>0,6*(2,4+0,43)</t>
  </si>
  <si>
    <t>1,698*1,1 'Přepočtené koeficientem množství</t>
  </si>
  <si>
    <t>dveřní křídlo z laminátové desky s povrchovou úpravou v dekoru dřeva, - bělený dub, prosklené s mléčným sklem - sklo dělené třemi příčlemi (do nové ocelové zárubně), rozm. 900x1970 mm, L, kování nerez - klika/klika, dělené štítky s obyčejným zámkem, bez požární odolnosti</t>
  </si>
  <si>
    <t>obkladová MDF deska tl. 15 mm - podrobná specifikace výrobku viz výkres truhlářského výrobku</t>
  </si>
  <si>
    <t>dlažba velkoformátová keramická slinutá hladká do interiéru i exteriéru pro vysoké mechanické namáhání přes 2 do 4ks/m2</t>
  </si>
  <si>
    <t>"- dveře a okna"</t>
  </si>
  <si>
    <t>((6,65+2,12)*2+0,43*2)*2,85+((5,71+3,06)*2)*2,85</t>
  </si>
  <si>
    <t>OST-202011</t>
  </si>
  <si>
    <t>Modernizace prostor ambulancí chirurgického oddělení v suterénu budovy A - Nemocnice Nymburk, s.r.o.</t>
  </si>
  <si>
    <t>Poznámka k položce:
- jednokřídlé otvíravé interiérové dveře, dveře z příjmové místnosti do místnosti chodby
- KOMPLETNÍ DODÁVKA V ROZSAHU POPISU VÝROBKU (vč. kování, apod.)</t>
  </si>
  <si>
    <t>Poznámka k položce:
PŘESNÁ SPECIFIKACE VÝROBKU - VIZ vizualizace půdorysu</t>
  </si>
  <si>
    <t>Otopná tělesa panelová dvoudesková PN 1,0 MPa, T do 110°C se dvěma přídavnými přestupními plochami výšky tělesa 600 mm stavební délky / výkonu 1000 mm / 1679 W</t>
  </si>
  <si>
    <t>-1586312110</t>
  </si>
  <si>
    <t>735151677</t>
  </si>
  <si>
    <t>735151579</t>
  </si>
  <si>
    <t>Otopná tělesa panelová dvoudesková PN 1,0 MPa, T do 110°C se dvěma přídavnými přestupními plochami výšky tělesa 600 mm / stavební délky  1200 mm / výkonu 2015 W</t>
  </si>
  <si>
    <t>6x0,5</t>
  </si>
  <si>
    <t>1+1+1</t>
  </si>
  <si>
    <t>Umyvadlo rozm. 50x42x17 cm - přesná specifikace výkres vizualizace půdorysu</t>
  </si>
  <si>
    <t>118*1,2 'Přepočtené koeficientem množství</t>
  </si>
  <si>
    <t>79*1,2 'Přepočtené koeficientem množství</t>
  </si>
  <si>
    <t>41*1,2 'Přepočtené koeficientem množství</t>
  </si>
  <si>
    <t>98+79</t>
  </si>
  <si>
    <t>177*0,1</t>
  </si>
  <si>
    <t>1,672*5 'Přepočtené koeficientem množství</t>
  </si>
  <si>
    <t>1,672*24 'Přepočtené koeficientem množství</t>
  </si>
  <si>
    <t>317142422</t>
  </si>
  <si>
    <t>-1819236477</t>
  </si>
  <si>
    <t xml:space="preserve">Poznámka k souboru cen:
1. V cenách jsou započteny náklady na dodání a uložení překladu, včetně podmazání ložné plochy tenkovrstvou maltou.
</t>
  </si>
  <si>
    <t>317234410</t>
  </si>
  <si>
    <t>Vyzdívka mezi nosníky cihlami pálenými na maltu cementovou</t>
  </si>
  <si>
    <t>1032617148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</si>
  <si>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</si>
  <si>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317941121</t>
  </si>
  <si>
    <t>Osazování ocelových válcovaných nosníků na zdivu I nebo IE nebo U nebo UE nebo L do č. 12 nebo výšky do 120 mm</t>
  </si>
  <si>
    <t>1583188428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</si>
  <si>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</si>
  <si>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13010712</t>
  </si>
  <si>
    <t>ocel profilová IPN 100 jakost 11 375</t>
  </si>
  <si>
    <t>-2054121060</t>
  </si>
  <si>
    <t>340271045</t>
  </si>
  <si>
    <t>Zazdívka otvorů v příčkách nebo stěnách pórobetonovými tvárnicemi plochy přes 1 m2 do 4 m2, objemová hmotnost 500 kg/m3, tloušťka příčky 150 mm</t>
  </si>
  <si>
    <t>280967562</t>
  </si>
  <si>
    <t>Překlady nenosné z pórobetonu osazené do tenkého maltového lože, výšky do 250 mm, šířky překladu 100 mm, délky překladu přes 1000 do 1350 mm</t>
  </si>
  <si>
    <t>2 x I č.100" 1*1,3*0,15*0,1</t>
  </si>
  <si>
    <t>2 x I č.100" 1*(2*1,3)*8,34/1000</t>
  </si>
  <si>
    <t>0,78*2,01</t>
  </si>
  <si>
    <t>nový otvor pro dveře</t>
  </si>
  <si>
    <t>0,98*2,01</t>
  </si>
  <si>
    <t>(1,35+0,45)*1,8</t>
  </si>
  <si>
    <t>1,492*5 'Přepočtené koeficientem množství</t>
  </si>
  <si>
    <t>1,492*24 'Přepočtené koeficientem množství</t>
  </si>
  <si>
    <t>20,94+0,25*(0,72+1,92+1,52+4,35)</t>
  </si>
  <si>
    <t>968072455</t>
  </si>
  <si>
    <t>Vybourání kovových rámů oken s křídly, dveřních zárubní, vrat, stěn, ostění nebo obkladů dveřních zárubní, plochy do 2 m2</t>
  </si>
  <si>
    <t>660583468</t>
  </si>
  <si>
    <t xml:space="preserve">Poznámka k souboru cen:
1. V cenách -2244 až -2559 jsou započteny i náklady na vyvěšení křídel.
2. Cenou -2641 se oceňuje i vybourání nosné ocelové konstrukce pro sádrokartonové příčky.
</t>
  </si>
  <si>
    <t>971033631</t>
  </si>
  <si>
    <t>Vybourání otvorů ve zdivu základovém nebo nadzákladovém z cihel, tvárnic, příčkovek z cihel pálených na maltu vápennou nebo vápenocementovou plochy do 4 m2, tl. do 150 mm</t>
  </si>
  <si>
    <t>-759560684</t>
  </si>
  <si>
    <t>52,17*1,2 'Přepočtené koeficientem množství</t>
  </si>
  <si>
    <t>53,08*1,1 'Přepočtené koeficientem množství</t>
  </si>
  <si>
    <t>102+103</t>
  </si>
  <si>
    <t>13,76+17,47+20,94</t>
  </si>
  <si>
    <t>52,170*1,05 'Přepočtené koeficientem množství</t>
  </si>
  <si>
    <t>"exteriérové dveře" (3*0,98*2,01)</t>
  </si>
  <si>
    <t xml:space="preserve">"stěny 101+102" </t>
  </si>
  <si>
    <t xml:space="preserve">"stěny 103" </t>
  </si>
  <si>
    <t>((6,65+4,32)*2+0,58*2)*2,85</t>
  </si>
  <si>
    <t>"okna" (1,5*1,5*3+1,90*1,5+1,0*0,79*2)</t>
  </si>
  <si>
    <t>17,944*1,05 'Přepočtené koeficientem množství</t>
  </si>
  <si>
    <t>2*0,1+2*0,15</t>
  </si>
  <si>
    <t>0,124*5 'Přepočtené koeficientem množství</t>
  </si>
  <si>
    <t>0,124*24 'Přepočtené koeficientem množství</t>
  </si>
  <si>
    <t>(0,5+0,5+1,0+1,0)*1,2</t>
  </si>
  <si>
    <t>(1,0+1,0+0,5+0,5+0,5+0,5+1,0+1,0)*1,2</t>
  </si>
  <si>
    <t>2+2+2+2</t>
  </si>
  <si>
    <t>Umyvadla montáž umyvadel a dřezů ostatních typů na šrouby</t>
  </si>
  <si>
    <t>Baterie umyvadlové a dřezové montáž ostatních typů stojánkových G 1/2"</t>
  </si>
  <si>
    <t>baterie stojánková, chrom lesklý - přesná specifikace výkres vizualizace půdorysu</t>
  </si>
  <si>
    <t>DŘ-BAT</t>
  </si>
  <si>
    <t>Nerezový dřez s odkapávačem, rozměr 780x435, hloubky 150 mm</t>
  </si>
  <si>
    <t>DŘ</t>
  </si>
  <si>
    <t xml:space="preserve">KUCHYŇSKÁ LINKA v m.č. 101 : VÝROBA, DODÁVKA A MONTÁŽ v rozsahu projektu, výkr.č. D.1.1.4., základní parametry - délka výrobku 3200 mm, celková výška 2130 mm, spodní skříňky v 900 mm v délce 2400 mm, vysoká skříň přes celou výšku liny 800 mm, horní kříňky výšky 600 mm, délky 2400 mm, obklad zadní stěny mezi skřínkami výšky 600 mm a délky 2400+430=2830 mm, materiál LTD lamino (barva bílá a bělený dub - barevná kombinace truhlářského výrobku je zřejmá z výkresu čelního pohledu a vizualizace kuchyňské linky), kovová dveřní madla v černé barvě, dvojdřez 810x510 mm, hl. 190 mm (nerez), dřezová baterie chrom, výška 196 mm, vč. vestavěné pultové lednice </t>
  </si>
  <si>
    <t>(1,2+0,60)*1,2*2+1,2*1,2</t>
  </si>
  <si>
    <t>5,76*1,25 'Přepočtené koeficientem množství</t>
  </si>
  <si>
    <t>(1,2+1,2+1,2+0,6)*2+(1,2*3)</t>
  </si>
  <si>
    <t>767</t>
  </si>
  <si>
    <t>Konstrukce zámečnické</t>
  </si>
  <si>
    <t>767-R1</t>
  </si>
  <si>
    <t>1396669209</t>
  </si>
  <si>
    <t>998767203</t>
  </si>
  <si>
    <t>Přesun hmot pro zámečnické konstrukce stanovený procentní sazbou (%) z ceny vodorovná dopravní vzdálenost do 50 m v objektech výšky přes 12 do 24 m</t>
  </si>
  <si>
    <t>-342041820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</si>
  <si>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</si>
  <si>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998767292</t>
  </si>
  <si>
    <t>Přesun hmot pro zámečnické konstrukce stanovený procentní sazbou (%) z ceny Příplatek k cenám za zvětšený přesun přes vymezenou největší dopravní vzdálenost do 100 m</t>
  </si>
  <si>
    <t>1379846955</t>
  </si>
  <si>
    <t>D+M skleněné modulární příčky šířky 3,90, výšky 3,40 m, hliníková modulární honstrukce, dělená třemi horizontálními příčlemi, vertikálně dělena jednou příčlí ve výšce 2100 mm, v jednom díle osazeny prosklené otevíravé dveře o průchozím rozměru 900/2080 mm s kováním kli-klika se zámkem, zasklení provedeno z bezpečnostního skla v matné mléčné úpravě, sklo opatřené dekorativní fólií s motivem stromu ve světle zelené barvě</t>
  </si>
  <si>
    <t>Poznámka k položce:
příčka oddělující nově vzniklý prostor skladu vozíků ve 2.NP - viz výkres D.1.1.6 a D.1.1.7</t>
  </si>
  <si>
    <t xml:space="preserve">    767 - Konstrukce zámečnické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</si>
</sst>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7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0" fillId="3" borderId="13"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8"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xf>
    <xf numFmtId="0" fontId="28"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3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0" borderId="18" xfId="0" applyFont="1" applyBorder="1" applyAlignment="1">
      <alignment horizontal="lef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3"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31" fillId="0" borderId="0" xfId="0" applyFont="1" applyAlignment="1">
      <alignment vertical="center" wrapText="1"/>
    </xf>
    <xf numFmtId="0" fontId="31" fillId="0" borderId="0" xfId="0" applyFont="1" applyAlignment="1">
      <alignment vertical="center"/>
    </xf>
    <xf numFmtId="4" fontId="8" fillId="0" borderId="20" xfId="0" applyNumberFormat="1" applyFont="1" applyFill="1" applyBorder="1" applyAlignment="1">
      <alignment vertical="center"/>
    </xf>
    <xf numFmtId="4" fontId="20" fillId="0" borderId="22" xfId="0" applyNumberFormat="1" applyFont="1" applyFill="1" applyBorder="1" applyAlignment="1" applyProtection="1">
      <alignment vertical="center"/>
      <protection locked="0"/>
    </xf>
    <xf numFmtId="0" fontId="0" fillId="0" borderId="0" xfId="0" applyFont="1" applyFill="1" applyAlignment="1">
      <alignment vertical="center"/>
    </xf>
    <xf numFmtId="0" fontId="11" fillId="0" borderId="0" xfId="0" applyFont="1" applyFill="1" applyAlignment="1">
      <alignment vertical="center"/>
    </xf>
    <xf numFmtId="4" fontId="34" fillId="0" borderId="22" xfId="0" applyNumberFormat="1" applyFont="1" applyFill="1" applyBorder="1" applyAlignment="1" applyProtection="1">
      <alignment vertical="center"/>
      <protection locked="0"/>
    </xf>
    <xf numFmtId="0" fontId="10"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xf>
    <xf numFmtId="0" fontId="20" fillId="0" borderId="22" xfId="0"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center" vertical="center" wrapText="1"/>
      <protection locked="0"/>
    </xf>
    <xf numFmtId="167" fontId="20" fillId="0" borderId="22" xfId="0" applyNumberFormat="1" applyFont="1" applyFill="1" applyBorder="1" applyAlignment="1" applyProtection="1">
      <alignment vertical="center"/>
      <protection locked="0"/>
    </xf>
    <xf numFmtId="0" fontId="34" fillId="0" borderId="22" xfId="0" applyFont="1" applyFill="1" applyBorder="1" applyAlignment="1" applyProtection="1">
      <alignment horizontal="center" vertical="center"/>
      <protection locked="0"/>
    </xf>
    <xf numFmtId="49" fontId="34" fillId="0" borderId="22" xfId="0" applyNumberFormat="1" applyFont="1" applyFill="1" applyBorder="1" applyAlignment="1" applyProtection="1">
      <alignment horizontal="left" vertical="center" wrapText="1"/>
      <protection locked="0"/>
    </xf>
    <xf numFmtId="0" fontId="34" fillId="0" borderId="22"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protection locked="0"/>
    </xf>
    <xf numFmtId="167" fontId="34" fillId="0" borderId="22" xfId="0" applyNumberFormat="1" applyFont="1" applyFill="1" applyBorder="1" applyAlignment="1" applyProtection="1">
      <alignment vertical="center"/>
      <protection locked="0"/>
    </xf>
    <xf numFmtId="0" fontId="32" fillId="0" borderId="0" xfId="0" applyFont="1" applyFill="1" applyAlignment="1">
      <alignment horizontal="left" vertical="center"/>
    </xf>
    <xf numFmtId="0" fontId="33" fillId="0" borderId="0" xfId="0" applyFont="1" applyFill="1" applyAlignment="1">
      <alignment vertical="center" wrapText="1"/>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0" fontId="20" fillId="0" borderId="0" xfId="0" applyFont="1" applyBorder="1" applyAlignment="1">
      <alignment horizontal="lef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xf numFmtId="0" fontId="32" fillId="0" borderId="0" xfId="0" applyFont="1" applyBorder="1" applyAlignment="1">
      <alignment horizontal="left" vertical="center"/>
    </xf>
    <xf numFmtId="0" fontId="34" fillId="0" borderId="0" xfId="0" applyFont="1" applyBorder="1" applyAlignment="1">
      <alignment horizontal="center" vertical="center"/>
    </xf>
    <xf numFmtId="0" fontId="33" fillId="0" borderId="0" xfId="0" applyFont="1" applyBorder="1" applyAlignment="1">
      <alignment vertical="center" wrapText="1"/>
    </xf>
    <xf numFmtId="0" fontId="10" fillId="0" borderId="0" xfId="0" applyFont="1" applyBorder="1" applyAlignment="1">
      <alignment vertical="center"/>
    </xf>
    <xf numFmtId="167" fontId="11" fillId="0" borderId="0" xfId="0" applyNumberFormat="1" applyFont="1" applyAlignment="1">
      <alignment horizontal="left" vertical="center" wrapText="1"/>
    </xf>
    <xf numFmtId="0" fontId="11"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14" fontId="3" fillId="0" borderId="0" xfId="0" applyNumberFormat="1" applyFont="1" applyAlignment="1">
      <alignment horizontal="left" vertical="center"/>
    </xf>
    <xf numFmtId="0" fontId="0" fillId="0" borderId="0" xfId="0" applyFont="1" applyAlignment="1">
      <alignment vertical="center"/>
    </xf>
    <xf numFmtId="0" fontId="9" fillId="0" borderId="0" xfId="0" applyFont="1" applyBorder="1" applyAlignment="1">
      <alignment/>
    </xf>
    <xf numFmtId="166" fontId="9" fillId="0" borderId="0" xfId="0" applyNumberFormat="1" applyFont="1" applyBorder="1" applyAlignment="1">
      <alignment/>
    </xf>
    <xf numFmtId="0" fontId="9" fillId="0" borderId="0" xfId="0" applyFont="1" applyBorder="1" applyAlignment="1">
      <alignment horizontal="left"/>
    </xf>
    <xf numFmtId="0" fontId="8" fillId="0" borderId="0" xfId="0" applyFont="1" applyBorder="1" applyAlignment="1">
      <alignment horizontal="left"/>
    </xf>
    <xf numFmtId="4" fontId="8" fillId="0" borderId="0" xfId="0" applyNumberFormat="1" applyFont="1" applyBorder="1" applyAlignment="1">
      <alignment/>
    </xf>
    <xf numFmtId="0" fontId="9" fillId="0" borderId="0" xfId="0" applyFont="1" applyBorder="1" applyAlignment="1">
      <alignment horizontal="center"/>
    </xf>
    <xf numFmtId="4" fontId="9" fillId="0" borderId="0" xfId="0" applyNumberFormat="1" applyFont="1" applyBorder="1" applyAlignment="1">
      <alignment vertical="center"/>
    </xf>
    <xf numFmtId="0" fontId="14" fillId="4"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7"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49" fontId="25" fillId="0" borderId="0" xfId="0" applyNumberFormat="1" applyFont="1" applyAlignment="1">
      <alignment horizontal="left" vertical="center" wrapText="1"/>
    </xf>
    <xf numFmtId="0" fontId="25" fillId="0" borderId="0" xfId="0" applyFont="1" applyAlignment="1">
      <alignment horizontal="left" vertical="center" wrapText="1"/>
    </xf>
    <xf numFmtId="0" fontId="20" fillId="3" borderId="6" xfId="0" applyFont="1" applyFill="1" applyBorder="1" applyAlignment="1">
      <alignment horizontal="center" vertical="center"/>
    </xf>
    <xf numFmtId="0" fontId="20" fillId="3" borderId="7" xfId="0" applyFont="1" applyFill="1" applyBorder="1" applyAlignment="1">
      <alignment horizontal="left" vertical="center"/>
    </xf>
    <xf numFmtId="0" fontId="20" fillId="3" borderId="7" xfId="0" applyFont="1" applyFill="1" applyBorder="1" applyAlignment="1">
      <alignment horizontal="center" vertical="center"/>
    </xf>
    <xf numFmtId="0" fontId="20" fillId="3" borderId="7" xfId="0" applyFont="1" applyFill="1" applyBorder="1" applyAlignment="1">
      <alignment horizontal="righ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Border="1" applyAlignment="1">
      <alignment horizontal="left" vertical="center" wrapText="1"/>
    </xf>
    <xf numFmtId="0" fontId="37" fillId="0" borderId="0" xfId="0" applyFont="1" applyBorder="1" applyAlignment="1">
      <alignment horizontal="center" vertical="center" wrapText="1"/>
    </xf>
    <xf numFmtId="0" fontId="38" fillId="0" borderId="29" xfId="0" applyFont="1" applyBorder="1" applyAlignment="1">
      <alignment horizontal="left" wrapText="1"/>
    </xf>
    <xf numFmtId="0" fontId="37"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8" fillId="0" borderId="29" xfId="0" applyFont="1" applyBorder="1" applyAlignment="1">
      <alignment horizontal="left"/>
    </xf>
    <xf numFmtId="0" fontId="9" fillId="0" borderId="0" xfId="0" applyFont="1"/>
    <xf numFmtId="0" fontId="9" fillId="0" borderId="3" xfId="0" applyFont="1" applyBorder="1"/>
    <xf numFmtId="4" fontId="8" fillId="0" borderId="0" xfId="0" applyNumberFormat="1" applyFont="1"/>
    <xf numFmtId="0" fontId="9" fillId="0" borderId="18" xfId="0" applyFont="1" applyBorder="1"/>
    <xf numFmtId="0" fontId="9" fillId="0" borderId="0" xfId="0" applyFont="1" applyBorder="1"/>
    <xf numFmtId="166" fontId="9" fillId="0" borderId="0" xfId="0" applyNumberFormat="1" applyFont="1" applyBorder="1"/>
    <xf numFmtId="166" fontId="9" fillId="0" borderId="12" xfId="0" applyNumberFormat="1" applyFont="1" applyBorder="1"/>
    <xf numFmtId="0" fontId="0" fillId="0" borderId="3" xfId="0" applyBorder="1" applyAlignment="1" applyProtection="1">
      <alignment vertical="center"/>
      <protection locked="0"/>
    </xf>
    <xf numFmtId="0" fontId="0" fillId="0" borderId="0" xfId="0" applyAlignment="1">
      <alignment horizontal="left" vertical="center"/>
    </xf>
    <xf numFmtId="4" fontId="0" fillId="0" borderId="0" xfId="0" applyNumberFormat="1" applyAlignment="1">
      <alignment vertical="center"/>
    </xf>
    <xf numFmtId="0" fontId="0" fillId="0" borderId="18" xfId="0" applyBorder="1" applyAlignment="1">
      <alignment vertical="center"/>
    </xf>
    <xf numFmtId="0" fontId="0" fillId="0" borderId="12" xfId="0"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2"/>
  <sheetViews>
    <sheetView showGridLines="0" tabSelected="1" view="pageBreakPreview" zoomScaleSheetLayoutView="100" workbookViewId="0" topLeftCell="A1">
      <selection activeCell="BE58" sqref="BE5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7" t="s">
        <v>6</v>
      </c>
      <c r="AS2" s="318"/>
      <c r="AT2" s="318"/>
      <c r="AU2" s="318"/>
      <c r="AV2" s="318"/>
      <c r="AW2" s="318"/>
      <c r="AX2" s="318"/>
      <c r="AY2" s="318"/>
      <c r="AZ2" s="318"/>
      <c r="BA2" s="318"/>
      <c r="BB2" s="318"/>
      <c r="BC2" s="318"/>
      <c r="BD2" s="318"/>
      <c r="BE2" s="318"/>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S4" s="18" t="s">
        <v>12</v>
      </c>
    </row>
    <row r="5" spans="2:71" s="1" customFormat="1" ht="12" customHeight="1">
      <c r="B5" s="21"/>
      <c r="D5" s="24" t="s">
        <v>13</v>
      </c>
      <c r="K5" s="326" t="s">
        <v>935</v>
      </c>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R5" s="21"/>
      <c r="BS5" s="18" t="s">
        <v>7</v>
      </c>
    </row>
    <row r="6" spans="2:71" s="1" customFormat="1" ht="36.95" customHeight="1">
      <c r="B6" s="21"/>
      <c r="D6" s="26" t="s">
        <v>14</v>
      </c>
      <c r="K6" s="327" t="s">
        <v>936</v>
      </c>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R6" s="21"/>
      <c r="BS6" s="18" t="s">
        <v>7</v>
      </c>
    </row>
    <row r="7" spans="2:71" s="1" customFormat="1" ht="12" customHeight="1">
      <c r="B7" s="21"/>
      <c r="D7" s="27" t="s">
        <v>15</v>
      </c>
      <c r="K7" s="25" t="s">
        <v>16</v>
      </c>
      <c r="AK7" s="27" t="s">
        <v>17</v>
      </c>
      <c r="AN7" s="25" t="s">
        <v>18</v>
      </c>
      <c r="AR7" s="21"/>
      <c r="BS7" s="18" t="s">
        <v>7</v>
      </c>
    </row>
    <row r="8" spans="2:71" s="1" customFormat="1" ht="12" customHeight="1">
      <c r="B8" s="21"/>
      <c r="D8" s="27" t="s">
        <v>19</v>
      </c>
      <c r="K8" s="25" t="s">
        <v>20</v>
      </c>
      <c r="AK8" s="27" t="s">
        <v>21</v>
      </c>
      <c r="AN8" s="308">
        <v>44152</v>
      </c>
      <c r="AR8" s="21"/>
      <c r="BS8" s="18" t="s">
        <v>7</v>
      </c>
    </row>
    <row r="9" spans="2:71" s="1" customFormat="1" ht="14.45" customHeight="1">
      <c r="B9" s="21"/>
      <c r="AR9" s="21"/>
      <c r="BS9" s="18" t="s">
        <v>7</v>
      </c>
    </row>
    <row r="10" spans="2:71" s="1" customFormat="1" ht="12" customHeight="1">
      <c r="B10" s="21"/>
      <c r="D10" s="27" t="s">
        <v>22</v>
      </c>
      <c r="AK10" s="27" t="s">
        <v>23</v>
      </c>
      <c r="AN10" s="25" t="s">
        <v>24</v>
      </c>
      <c r="AR10" s="21"/>
      <c r="BS10" s="18" t="s">
        <v>7</v>
      </c>
    </row>
    <row r="11" spans="2:71" s="1" customFormat="1" ht="18.4" customHeight="1">
      <c r="B11" s="21"/>
      <c r="E11" s="25" t="s">
        <v>25</v>
      </c>
      <c r="AK11" s="27" t="s">
        <v>26</v>
      </c>
      <c r="AN11" s="25" t="s">
        <v>27</v>
      </c>
      <c r="AR11" s="21"/>
      <c r="BS11" s="18" t="s">
        <v>7</v>
      </c>
    </row>
    <row r="12" spans="2:71" s="1" customFormat="1" ht="6.95" customHeight="1">
      <c r="B12" s="21"/>
      <c r="AR12" s="21"/>
      <c r="BS12" s="18" t="s">
        <v>7</v>
      </c>
    </row>
    <row r="13" spans="2:71" s="1" customFormat="1" ht="12" customHeight="1">
      <c r="B13" s="21"/>
      <c r="D13" s="27" t="s">
        <v>28</v>
      </c>
      <c r="AK13" s="27" t="s">
        <v>23</v>
      </c>
      <c r="AN13" s="25" t="s">
        <v>3</v>
      </c>
      <c r="AR13" s="21"/>
      <c r="BS13" s="18" t="s">
        <v>7</v>
      </c>
    </row>
    <row r="14" spans="2:71" ht="12.75">
      <c r="B14" s="21"/>
      <c r="E14" s="25" t="s">
        <v>29</v>
      </c>
      <c r="AK14" s="27" t="s">
        <v>26</v>
      </c>
      <c r="AN14" s="25" t="s">
        <v>3</v>
      </c>
      <c r="AR14" s="21"/>
      <c r="BS14" s="18" t="s">
        <v>7</v>
      </c>
    </row>
    <row r="15" spans="2:71" s="1" customFormat="1" ht="6.95" customHeight="1">
      <c r="B15" s="21"/>
      <c r="AR15" s="21"/>
      <c r="BS15" s="18" t="s">
        <v>4</v>
      </c>
    </row>
    <row r="16" spans="2:71" s="1" customFormat="1" ht="12" customHeight="1">
      <c r="B16" s="21"/>
      <c r="D16" s="27" t="s">
        <v>30</v>
      </c>
      <c r="AK16" s="27" t="s">
        <v>23</v>
      </c>
      <c r="AN16" s="25" t="s">
        <v>31</v>
      </c>
      <c r="AR16" s="21"/>
      <c r="BS16" s="18" t="s">
        <v>4</v>
      </c>
    </row>
    <row r="17" spans="2:71" s="1" customFormat="1" ht="18.4" customHeight="1">
      <c r="B17" s="21"/>
      <c r="E17" s="25" t="s">
        <v>32</v>
      </c>
      <c r="AK17" s="27" t="s">
        <v>26</v>
      </c>
      <c r="AN17" s="25" t="s">
        <v>33</v>
      </c>
      <c r="AR17" s="21"/>
      <c r="BS17" s="18" t="s">
        <v>34</v>
      </c>
    </row>
    <row r="18" spans="2:71" s="1" customFormat="1" ht="6.95" customHeight="1">
      <c r="B18" s="21"/>
      <c r="AR18" s="21"/>
      <c r="BS18" s="18" t="s">
        <v>7</v>
      </c>
    </row>
    <row r="19" spans="2:71" s="1" customFormat="1" ht="12" customHeight="1">
      <c r="B19" s="21"/>
      <c r="D19" s="27" t="s">
        <v>35</v>
      </c>
      <c r="AK19" s="27" t="s">
        <v>23</v>
      </c>
      <c r="AN19" s="25" t="s">
        <v>3</v>
      </c>
      <c r="AR19" s="21"/>
      <c r="BS19" s="18" t="s">
        <v>7</v>
      </c>
    </row>
    <row r="20" spans="2:71" s="1" customFormat="1" ht="18.4" customHeight="1">
      <c r="B20" s="21"/>
      <c r="E20" s="25" t="s">
        <v>29</v>
      </c>
      <c r="AK20" s="27" t="s">
        <v>26</v>
      </c>
      <c r="AN20" s="25" t="s">
        <v>3</v>
      </c>
      <c r="AR20" s="21"/>
      <c r="BS20" s="18" t="s">
        <v>4</v>
      </c>
    </row>
    <row r="21" spans="2:44" s="1" customFormat="1" ht="6.95" customHeight="1">
      <c r="B21" s="21"/>
      <c r="AR21" s="21"/>
    </row>
    <row r="22" spans="2:44" s="1" customFormat="1" ht="12" customHeight="1">
      <c r="B22" s="21"/>
      <c r="D22" s="27" t="s">
        <v>36</v>
      </c>
      <c r="AR22" s="21"/>
    </row>
    <row r="23" spans="2:44" s="1" customFormat="1" ht="47.25" customHeight="1">
      <c r="B23" s="21"/>
      <c r="E23" s="328" t="s">
        <v>37</v>
      </c>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R23" s="21"/>
    </row>
    <row r="24" spans="2:44" s="1" customFormat="1" ht="6.95" customHeight="1">
      <c r="B24" s="21"/>
      <c r="AR24" s="21"/>
    </row>
    <row r="25" spans="2:44" s="1" customFormat="1" ht="6.95" customHeight="1">
      <c r="B25" s="21"/>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21"/>
    </row>
    <row r="26" spans="1:57" s="2" customFormat="1" ht="25.9" customHeight="1">
      <c r="A26" s="30"/>
      <c r="B26" s="31"/>
      <c r="C26" s="30"/>
      <c r="D26" s="32" t="s">
        <v>38</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29">
        <f>ROUND(AG54,2)</f>
        <v>0</v>
      </c>
      <c r="AL26" s="330"/>
      <c r="AM26" s="330"/>
      <c r="AN26" s="330"/>
      <c r="AO26" s="330"/>
      <c r="AP26" s="30"/>
      <c r="AQ26" s="30"/>
      <c r="AR26" s="31"/>
      <c r="BE26" s="30"/>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30"/>
    </row>
    <row r="28" spans="1:57" s="2" customFormat="1" ht="12.75">
      <c r="A28" s="30"/>
      <c r="B28" s="31"/>
      <c r="C28" s="30"/>
      <c r="D28" s="30"/>
      <c r="E28" s="30"/>
      <c r="F28" s="30"/>
      <c r="G28" s="30"/>
      <c r="H28" s="30"/>
      <c r="I28" s="30"/>
      <c r="J28" s="30"/>
      <c r="K28" s="30"/>
      <c r="L28" s="331" t="s">
        <v>39</v>
      </c>
      <c r="M28" s="331"/>
      <c r="N28" s="331"/>
      <c r="O28" s="331"/>
      <c r="P28" s="331"/>
      <c r="Q28" s="30"/>
      <c r="R28" s="30"/>
      <c r="S28" s="30"/>
      <c r="T28" s="30"/>
      <c r="U28" s="30"/>
      <c r="V28" s="30"/>
      <c r="W28" s="331" t="s">
        <v>40</v>
      </c>
      <c r="X28" s="331"/>
      <c r="Y28" s="331"/>
      <c r="Z28" s="331"/>
      <c r="AA28" s="331"/>
      <c r="AB28" s="331"/>
      <c r="AC28" s="331"/>
      <c r="AD28" s="331"/>
      <c r="AE28" s="331"/>
      <c r="AF28" s="30"/>
      <c r="AG28" s="30"/>
      <c r="AH28" s="30"/>
      <c r="AI28" s="30"/>
      <c r="AJ28" s="30"/>
      <c r="AK28" s="331" t="s">
        <v>41</v>
      </c>
      <c r="AL28" s="331"/>
      <c r="AM28" s="331"/>
      <c r="AN28" s="331"/>
      <c r="AO28" s="331"/>
      <c r="AP28" s="30"/>
      <c r="AQ28" s="30"/>
      <c r="AR28" s="31"/>
      <c r="BE28" s="30"/>
    </row>
    <row r="29" spans="2:44" s="3" customFormat="1" ht="14.45" customHeight="1">
      <c r="B29" s="35"/>
      <c r="D29" s="27" t="s">
        <v>42</v>
      </c>
      <c r="F29" s="27" t="s">
        <v>43</v>
      </c>
      <c r="L29" s="319">
        <v>0.21</v>
      </c>
      <c r="M29" s="320"/>
      <c r="N29" s="320"/>
      <c r="O29" s="320"/>
      <c r="P29" s="320"/>
      <c r="W29" s="321">
        <f>AG54</f>
        <v>0</v>
      </c>
      <c r="X29" s="320"/>
      <c r="Y29" s="320"/>
      <c r="Z29" s="320"/>
      <c r="AA29" s="320"/>
      <c r="AB29" s="320"/>
      <c r="AC29" s="320"/>
      <c r="AD29" s="320"/>
      <c r="AE29" s="320"/>
      <c r="AK29" s="321">
        <f>W29*0.21</f>
        <v>0</v>
      </c>
      <c r="AL29" s="320"/>
      <c r="AM29" s="320"/>
      <c r="AN29" s="320"/>
      <c r="AO29" s="320"/>
      <c r="AR29" s="35"/>
    </row>
    <row r="30" spans="2:44" s="3" customFormat="1" ht="14.45" customHeight="1">
      <c r="B30" s="35"/>
      <c r="F30" s="27" t="s">
        <v>44</v>
      </c>
      <c r="L30" s="319">
        <v>0.15</v>
      </c>
      <c r="M30" s="320"/>
      <c r="N30" s="320"/>
      <c r="O30" s="320"/>
      <c r="P30" s="320"/>
      <c r="W30" s="321">
        <f>ROUND(BA54,2)</f>
        <v>0</v>
      </c>
      <c r="X30" s="320"/>
      <c r="Y30" s="320"/>
      <c r="Z30" s="320"/>
      <c r="AA30" s="320"/>
      <c r="AB30" s="320"/>
      <c r="AC30" s="320"/>
      <c r="AD30" s="320"/>
      <c r="AE30" s="320"/>
      <c r="AK30" s="321">
        <f>ROUND(AW54,2)</f>
        <v>0</v>
      </c>
      <c r="AL30" s="320"/>
      <c r="AM30" s="320"/>
      <c r="AN30" s="320"/>
      <c r="AO30" s="320"/>
      <c r="AR30" s="35"/>
    </row>
    <row r="31" spans="2:44" s="3" customFormat="1" ht="14.45" customHeight="1" hidden="1">
      <c r="B31" s="35"/>
      <c r="F31" s="27" t="s">
        <v>45</v>
      </c>
      <c r="L31" s="319">
        <v>0.21</v>
      </c>
      <c r="M31" s="320"/>
      <c r="N31" s="320"/>
      <c r="O31" s="320"/>
      <c r="P31" s="320"/>
      <c r="W31" s="321">
        <f>ROUND(BB54,2)</f>
        <v>0</v>
      </c>
      <c r="X31" s="320"/>
      <c r="Y31" s="320"/>
      <c r="Z31" s="320"/>
      <c r="AA31" s="320"/>
      <c r="AB31" s="320"/>
      <c r="AC31" s="320"/>
      <c r="AD31" s="320"/>
      <c r="AE31" s="320"/>
      <c r="AK31" s="321">
        <v>0</v>
      </c>
      <c r="AL31" s="320"/>
      <c r="AM31" s="320"/>
      <c r="AN31" s="320"/>
      <c r="AO31" s="320"/>
      <c r="AR31" s="35"/>
    </row>
    <row r="32" spans="2:44" s="3" customFormat="1" ht="14.45" customHeight="1" hidden="1">
      <c r="B32" s="35"/>
      <c r="F32" s="27" t="s">
        <v>46</v>
      </c>
      <c r="L32" s="319">
        <v>0.15</v>
      </c>
      <c r="M32" s="320"/>
      <c r="N32" s="320"/>
      <c r="O32" s="320"/>
      <c r="P32" s="320"/>
      <c r="W32" s="321">
        <f>ROUND(BC54,2)</f>
        <v>0</v>
      </c>
      <c r="X32" s="320"/>
      <c r="Y32" s="320"/>
      <c r="Z32" s="320"/>
      <c r="AA32" s="320"/>
      <c r="AB32" s="320"/>
      <c r="AC32" s="320"/>
      <c r="AD32" s="320"/>
      <c r="AE32" s="320"/>
      <c r="AK32" s="321">
        <v>0</v>
      </c>
      <c r="AL32" s="320"/>
      <c r="AM32" s="320"/>
      <c r="AN32" s="320"/>
      <c r="AO32" s="320"/>
      <c r="AR32" s="35"/>
    </row>
    <row r="33" spans="2:44" s="3" customFormat="1" ht="14.45" customHeight="1" hidden="1">
      <c r="B33" s="35"/>
      <c r="F33" s="27" t="s">
        <v>47</v>
      </c>
      <c r="L33" s="319">
        <v>0</v>
      </c>
      <c r="M33" s="320"/>
      <c r="N33" s="320"/>
      <c r="O33" s="320"/>
      <c r="P33" s="320"/>
      <c r="W33" s="321">
        <f>ROUND(BD54,2)</f>
        <v>0</v>
      </c>
      <c r="X33" s="320"/>
      <c r="Y33" s="320"/>
      <c r="Z33" s="320"/>
      <c r="AA33" s="320"/>
      <c r="AB33" s="320"/>
      <c r="AC33" s="320"/>
      <c r="AD33" s="320"/>
      <c r="AE33" s="320"/>
      <c r="AK33" s="321">
        <v>0</v>
      </c>
      <c r="AL33" s="320"/>
      <c r="AM33" s="320"/>
      <c r="AN33" s="320"/>
      <c r="AO33" s="320"/>
      <c r="AR33" s="35"/>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30"/>
    </row>
    <row r="35" spans="1:57" s="2" customFormat="1" ht="25.9" customHeight="1">
      <c r="A35" s="30"/>
      <c r="B35" s="31"/>
      <c r="C35" s="36"/>
      <c r="D35" s="37" t="s">
        <v>48</v>
      </c>
      <c r="E35" s="38"/>
      <c r="F35" s="38"/>
      <c r="G35" s="38"/>
      <c r="H35" s="38"/>
      <c r="I35" s="38"/>
      <c r="J35" s="38"/>
      <c r="K35" s="38"/>
      <c r="L35" s="38"/>
      <c r="M35" s="38"/>
      <c r="N35" s="38"/>
      <c r="O35" s="38"/>
      <c r="P35" s="38"/>
      <c r="Q35" s="38"/>
      <c r="R35" s="38"/>
      <c r="S35" s="38"/>
      <c r="T35" s="39" t="s">
        <v>49</v>
      </c>
      <c r="U35" s="38"/>
      <c r="V35" s="38"/>
      <c r="W35" s="38"/>
      <c r="X35" s="325" t="s">
        <v>50</v>
      </c>
      <c r="Y35" s="323"/>
      <c r="Z35" s="323"/>
      <c r="AA35" s="323"/>
      <c r="AB35" s="323"/>
      <c r="AC35" s="38"/>
      <c r="AD35" s="38"/>
      <c r="AE35" s="38"/>
      <c r="AF35" s="38"/>
      <c r="AG35" s="38"/>
      <c r="AH35" s="38"/>
      <c r="AI35" s="38"/>
      <c r="AJ35" s="38"/>
      <c r="AK35" s="322">
        <f>SUM(AK26:AK33)</f>
        <v>0</v>
      </c>
      <c r="AL35" s="323"/>
      <c r="AM35" s="323"/>
      <c r="AN35" s="323"/>
      <c r="AO35" s="324"/>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6.95" customHeight="1">
      <c r="A37" s="30"/>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31"/>
      <c r="BE37" s="30"/>
    </row>
    <row r="41" spans="1:57" s="2" customFormat="1" ht="6.95" customHeight="1">
      <c r="A41" s="30"/>
      <c r="B41" s="4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31"/>
      <c r="BE41" s="30"/>
    </row>
    <row r="42" spans="1:57" s="2" customFormat="1" ht="24.95" customHeight="1">
      <c r="A42" s="30"/>
      <c r="B42" s="31"/>
      <c r="C42" s="22" t="s">
        <v>51</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1"/>
      <c r="BE42" s="30"/>
    </row>
    <row r="43" spans="1:57" s="2" customFormat="1" ht="6.95" customHeight="1">
      <c r="A43" s="30"/>
      <c r="B43" s="3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1"/>
      <c r="BE43" s="30"/>
    </row>
    <row r="44" spans="2:44" s="4" customFormat="1" ht="12" customHeight="1">
      <c r="B44" s="44"/>
      <c r="C44" s="27" t="s">
        <v>13</v>
      </c>
      <c r="L44" s="4" t="str">
        <f>K5</f>
        <v>OST-202011</v>
      </c>
      <c r="AR44" s="44"/>
    </row>
    <row r="45" spans="2:44" s="5" customFormat="1" ht="36.95" customHeight="1">
      <c r="B45" s="45"/>
      <c r="C45" s="46" t="s">
        <v>14</v>
      </c>
      <c r="L45" s="342" t="str">
        <f>K6</f>
        <v>Modernizace prostor ambulancí chirurgického oddělení v suterénu budovy A - Nemocnice Nymburk, s.r.o.</v>
      </c>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R45" s="45"/>
    </row>
    <row r="46" spans="1:57" s="2" customFormat="1" ht="6.95" customHeight="1">
      <c r="A46" s="30"/>
      <c r="B46" s="3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1"/>
      <c r="BE46" s="30"/>
    </row>
    <row r="47" spans="1:57" s="2" customFormat="1" ht="12" customHeight="1">
      <c r="A47" s="30"/>
      <c r="B47" s="31"/>
      <c r="C47" s="27" t="s">
        <v>19</v>
      </c>
      <c r="D47" s="30"/>
      <c r="E47" s="30"/>
      <c r="F47" s="30"/>
      <c r="G47" s="30"/>
      <c r="H47" s="30"/>
      <c r="I47" s="30"/>
      <c r="J47" s="30"/>
      <c r="K47" s="30"/>
      <c r="L47" s="47" t="str">
        <f>IF(K8="","",K8)</f>
        <v>Nymburk</v>
      </c>
      <c r="M47" s="30"/>
      <c r="N47" s="30"/>
      <c r="O47" s="30"/>
      <c r="P47" s="30"/>
      <c r="Q47" s="30"/>
      <c r="R47" s="30"/>
      <c r="S47" s="30"/>
      <c r="T47" s="30"/>
      <c r="U47" s="30"/>
      <c r="V47" s="30"/>
      <c r="W47" s="30"/>
      <c r="X47" s="30"/>
      <c r="Y47" s="30"/>
      <c r="Z47" s="30"/>
      <c r="AA47" s="30"/>
      <c r="AB47" s="30"/>
      <c r="AC47" s="30"/>
      <c r="AD47" s="30"/>
      <c r="AE47" s="30"/>
      <c r="AF47" s="30"/>
      <c r="AG47" s="30"/>
      <c r="AH47" s="30"/>
      <c r="AI47" s="27" t="s">
        <v>21</v>
      </c>
      <c r="AJ47" s="30"/>
      <c r="AK47" s="30"/>
      <c r="AL47" s="30"/>
      <c r="AM47" s="344">
        <f>IF(AN8="","",AN8)</f>
        <v>44152</v>
      </c>
      <c r="AN47" s="344"/>
      <c r="AO47" s="30"/>
      <c r="AP47" s="30"/>
      <c r="AQ47" s="30"/>
      <c r="AR47" s="31"/>
      <c r="BE47" s="30"/>
    </row>
    <row r="48" spans="1:57" s="2" customFormat="1" ht="6.95" customHeight="1">
      <c r="A48" s="30"/>
      <c r="B48" s="31"/>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1"/>
      <c r="BE48" s="30"/>
    </row>
    <row r="49" spans="1:57" s="2" customFormat="1" ht="15.2" customHeight="1">
      <c r="A49" s="30"/>
      <c r="B49" s="31"/>
      <c r="C49" s="27" t="s">
        <v>22</v>
      </c>
      <c r="D49" s="30"/>
      <c r="E49" s="30"/>
      <c r="F49" s="30"/>
      <c r="G49" s="30"/>
      <c r="H49" s="30"/>
      <c r="I49" s="30"/>
      <c r="J49" s="30"/>
      <c r="K49" s="30"/>
      <c r="L49" s="4" t="str">
        <f>IF(E11="","",E11)</f>
        <v>Nemocnice Nymburk s.r.o.</v>
      </c>
      <c r="M49" s="30"/>
      <c r="N49" s="30"/>
      <c r="O49" s="30"/>
      <c r="P49" s="30"/>
      <c r="Q49" s="30"/>
      <c r="R49" s="30"/>
      <c r="S49" s="30"/>
      <c r="T49" s="30"/>
      <c r="U49" s="30"/>
      <c r="V49" s="30"/>
      <c r="W49" s="30"/>
      <c r="X49" s="30"/>
      <c r="Y49" s="30"/>
      <c r="Z49" s="30"/>
      <c r="AA49" s="30"/>
      <c r="AB49" s="30"/>
      <c r="AC49" s="30"/>
      <c r="AD49" s="30"/>
      <c r="AE49" s="30"/>
      <c r="AF49" s="30"/>
      <c r="AG49" s="30"/>
      <c r="AH49" s="30"/>
      <c r="AI49" s="27" t="s">
        <v>30</v>
      </c>
      <c r="AJ49" s="30"/>
      <c r="AK49" s="30"/>
      <c r="AL49" s="30"/>
      <c r="AM49" s="345" t="str">
        <f>IF(E17="","",E17)</f>
        <v>Ing. arch. Pavel Petrák</v>
      </c>
      <c r="AN49" s="346"/>
      <c r="AO49" s="346"/>
      <c r="AP49" s="346"/>
      <c r="AQ49" s="30"/>
      <c r="AR49" s="31"/>
      <c r="AS49" s="347" t="s">
        <v>52</v>
      </c>
      <c r="AT49" s="348"/>
      <c r="AU49" s="49"/>
      <c r="AV49" s="49"/>
      <c r="AW49" s="49"/>
      <c r="AX49" s="49"/>
      <c r="AY49" s="49"/>
      <c r="AZ49" s="49"/>
      <c r="BA49" s="49"/>
      <c r="BB49" s="49"/>
      <c r="BC49" s="49"/>
      <c r="BD49" s="50"/>
      <c r="BE49" s="30"/>
    </row>
    <row r="50" spans="1:57" s="2" customFormat="1" ht="15.2" customHeight="1">
      <c r="A50" s="30"/>
      <c r="B50" s="31"/>
      <c r="C50" s="27" t="s">
        <v>28</v>
      </c>
      <c r="D50" s="30"/>
      <c r="E50" s="30"/>
      <c r="F50" s="30"/>
      <c r="G50" s="30"/>
      <c r="H50" s="30"/>
      <c r="I50" s="30"/>
      <c r="J50" s="30"/>
      <c r="K50" s="30"/>
      <c r="L50" s="4" t="str">
        <f>IF(E14="","",E14)</f>
        <v xml:space="preserve"> </v>
      </c>
      <c r="M50" s="30"/>
      <c r="N50" s="30"/>
      <c r="O50" s="30"/>
      <c r="P50" s="30"/>
      <c r="Q50" s="30"/>
      <c r="R50" s="30"/>
      <c r="S50" s="30"/>
      <c r="T50" s="30"/>
      <c r="U50" s="30"/>
      <c r="V50" s="30"/>
      <c r="W50" s="30"/>
      <c r="X50" s="30"/>
      <c r="Y50" s="30"/>
      <c r="Z50" s="30"/>
      <c r="AA50" s="30"/>
      <c r="AB50" s="30"/>
      <c r="AC50" s="30"/>
      <c r="AD50" s="30"/>
      <c r="AE50" s="30"/>
      <c r="AF50" s="30"/>
      <c r="AG50" s="30"/>
      <c r="AH50" s="30"/>
      <c r="AI50" s="27" t="s">
        <v>35</v>
      </c>
      <c r="AJ50" s="30"/>
      <c r="AK50" s="30"/>
      <c r="AL50" s="30"/>
      <c r="AM50" s="345" t="str">
        <f>IF(E20="","",E20)</f>
        <v xml:space="preserve"> </v>
      </c>
      <c r="AN50" s="346"/>
      <c r="AO50" s="346"/>
      <c r="AP50" s="346"/>
      <c r="AQ50" s="30"/>
      <c r="AR50" s="31"/>
      <c r="AS50" s="349"/>
      <c r="AT50" s="350"/>
      <c r="AU50" s="51"/>
      <c r="AV50" s="51"/>
      <c r="AW50" s="51"/>
      <c r="AX50" s="51"/>
      <c r="AY50" s="51"/>
      <c r="AZ50" s="51"/>
      <c r="BA50" s="51"/>
      <c r="BB50" s="51"/>
      <c r="BC50" s="51"/>
      <c r="BD50" s="52"/>
      <c r="BE50" s="30"/>
    </row>
    <row r="51" spans="1:57" s="2" customFormat="1" ht="10.9" customHeight="1">
      <c r="A51" s="30"/>
      <c r="B51" s="31"/>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1"/>
      <c r="AS51" s="349"/>
      <c r="AT51" s="350"/>
      <c r="AU51" s="51"/>
      <c r="AV51" s="51"/>
      <c r="AW51" s="51"/>
      <c r="AX51" s="51"/>
      <c r="AY51" s="51"/>
      <c r="AZ51" s="51"/>
      <c r="BA51" s="51"/>
      <c r="BB51" s="51"/>
      <c r="BC51" s="51"/>
      <c r="BD51" s="52"/>
      <c r="BE51" s="30"/>
    </row>
    <row r="52" spans="1:57" s="2" customFormat="1" ht="29.25" customHeight="1">
      <c r="A52" s="30"/>
      <c r="B52" s="31"/>
      <c r="C52" s="336" t="s">
        <v>53</v>
      </c>
      <c r="D52" s="337"/>
      <c r="E52" s="337"/>
      <c r="F52" s="337"/>
      <c r="G52" s="337"/>
      <c r="H52" s="53"/>
      <c r="I52" s="338" t="s">
        <v>54</v>
      </c>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9" t="s">
        <v>55</v>
      </c>
      <c r="AH52" s="337"/>
      <c r="AI52" s="337"/>
      <c r="AJ52" s="337"/>
      <c r="AK52" s="337"/>
      <c r="AL52" s="337"/>
      <c r="AM52" s="337"/>
      <c r="AN52" s="338" t="s">
        <v>56</v>
      </c>
      <c r="AO52" s="337"/>
      <c r="AP52" s="337"/>
      <c r="AQ52" s="54" t="s">
        <v>57</v>
      </c>
      <c r="AR52" s="31"/>
      <c r="AS52" s="55" t="s">
        <v>58</v>
      </c>
      <c r="AT52" s="56" t="s">
        <v>59</v>
      </c>
      <c r="AU52" s="56" t="s">
        <v>60</v>
      </c>
      <c r="AV52" s="56" t="s">
        <v>61</v>
      </c>
      <c r="AW52" s="56" t="s">
        <v>62</v>
      </c>
      <c r="AX52" s="56" t="s">
        <v>63</v>
      </c>
      <c r="AY52" s="56" t="s">
        <v>64</v>
      </c>
      <c r="AZ52" s="56" t="s">
        <v>65</v>
      </c>
      <c r="BA52" s="56" t="s">
        <v>66</v>
      </c>
      <c r="BB52" s="56" t="s">
        <v>67</v>
      </c>
      <c r="BC52" s="56" t="s">
        <v>68</v>
      </c>
      <c r="BD52" s="57" t="s">
        <v>69</v>
      </c>
      <c r="BE52" s="30"/>
    </row>
    <row r="53" spans="1:57" s="2" customFormat="1" ht="10.9" customHeight="1">
      <c r="A53" s="30"/>
      <c r="B53" s="31"/>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1"/>
      <c r="AS53" s="58"/>
      <c r="AT53" s="59"/>
      <c r="AU53" s="59"/>
      <c r="AV53" s="59"/>
      <c r="AW53" s="59"/>
      <c r="AX53" s="59"/>
      <c r="AY53" s="59"/>
      <c r="AZ53" s="59"/>
      <c r="BA53" s="59"/>
      <c r="BB53" s="59"/>
      <c r="BC53" s="59"/>
      <c r="BD53" s="60"/>
      <c r="BE53" s="30"/>
    </row>
    <row r="54" spans="2:90" s="6" customFormat="1" ht="32.45" customHeight="1">
      <c r="B54" s="61"/>
      <c r="C54" s="62" t="s">
        <v>70</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40">
        <f>ROUND(SUM(AG55:AG60),2)</f>
        <v>0</v>
      </c>
      <c r="AH54" s="340"/>
      <c r="AI54" s="340"/>
      <c r="AJ54" s="340"/>
      <c r="AK54" s="340"/>
      <c r="AL54" s="340"/>
      <c r="AM54" s="340"/>
      <c r="AN54" s="341">
        <f>AN55+AN56+AN57+AN58+AN59+AN60</f>
        <v>0</v>
      </c>
      <c r="AO54" s="341"/>
      <c r="AP54" s="341"/>
      <c r="AQ54" s="65" t="s">
        <v>3</v>
      </c>
      <c r="AR54" s="61"/>
      <c r="AS54" s="66">
        <f>ROUND(SUM(AS55:AS60),2)</f>
        <v>0</v>
      </c>
      <c r="AT54" s="67">
        <f aca="true" t="shared" si="0" ref="AT54:AT60">ROUND(SUM(AV54:AW54),2)</f>
        <v>0</v>
      </c>
      <c r="AU54" s="68" t="e">
        <f>ROUND(SUM(AU55:AU60),5)</f>
        <v>#REF!</v>
      </c>
      <c r="AV54" s="67">
        <f>ROUND(AZ54*L29,2)</f>
        <v>0</v>
      </c>
      <c r="AW54" s="67">
        <f>ROUND(BA54*L30,2)</f>
        <v>0</v>
      </c>
      <c r="AX54" s="67">
        <f>ROUND(BB54*L29,2)</f>
        <v>0</v>
      </c>
      <c r="AY54" s="67">
        <f>ROUND(BC54*L30,2)</f>
        <v>0</v>
      </c>
      <c r="AZ54" s="67">
        <f>ROUND(SUM(AZ55:AZ60),2)</f>
        <v>0</v>
      </c>
      <c r="BA54" s="67">
        <f>ROUND(SUM(BA55:BA60),2)</f>
        <v>0</v>
      </c>
      <c r="BB54" s="67">
        <f>ROUND(SUM(BB55:BB60),2)</f>
        <v>0</v>
      </c>
      <c r="BC54" s="67">
        <f>ROUND(SUM(BC55:BC60),2)</f>
        <v>0</v>
      </c>
      <c r="BD54" s="69">
        <f>ROUND(SUM(BD55:BD60),2)</f>
        <v>0</v>
      </c>
      <c r="BS54" s="70" t="s">
        <v>71</v>
      </c>
      <c r="BT54" s="70" t="s">
        <v>72</v>
      </c>
      <c r="BU54" s="71" t="s">
        <v>73</v>
      </c>
      <c r="BV54" s="70" t="s">
        <v>74</v>
      </c>
      <c r="BW54" s="70" t="s">
        <v>5</v>
      </c>
      <c r="BX54" s="70" t="s">
        <v>75</v>
      </c>
      <c r="CL54" s="70" t="s">
        <v>16</v>
      </c>
    </row>
    <row r="55" spans="1:91" s="7" customFormat="1" ht="16.5" customHeight="1">
      <c r="A55" s="72" t="s">
        <v>76</v>
      </c>
      <c r="B55" s="73"/>
      <c r="C55" s="74"/>
      <c r="D55" s="335" t="s">
        <v>77</v>
      </c>
      <c r="E55" s="335"/>
      <c r="F55" s="335"/>
      <c r="G55" s="335"/>
      <c r="H55" s="335"/>
      <c r="I55" s="75"/>
      <c r="J55" s="335" t="s">
        <v>78</v>
      </c>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2">
        <f>'01 - Stavební část'!J59</f>
        <v>0</v>
      </c>
      <c r="AH55" s="333"/>
      <c r="AI55" s="333"/>
      <c r="AJ55" s="333"/>
      <c r="AK55" s="333"/>
      <c r="AL55" s="333"/>
      <c r="AM55" s="333"/>
      <c r="AN55" s="332">
        <f>AG55*1.21</f>
        <v>0</v>
      </c>
      <c r="AO55" s="333"/>
      <c r="AP55" s="333"/>
      <c r="AQ55" s="76" t="s">
        <v>79</v>
      </c>
      <c r="AR55" s="73"/>
      <c r="AS55" s="77">
        <v>0</v>
      </c>
      <c r="AT55" s="78">
        <f t="shared" si="0"/>
        <v>0</v>
      </c>
      <c r="AU55" s="79" t="e">
        <f>'01 - Stavební část'!P91</f>
        <v>#REF!</v>
      </c>
      <c r="AV55" s="78">
        <f>'01 - Stavební část'!J33</f>
        <v>0</v>
      </c>
      <c r="AW55" s="78">
        <f>'01 - Stavební část'!J34</f>
        <v>0</v>
      </c>
      <c r="AX55" s="78">
        <f>'01 - Stavební část'!J35</f>
        <v>0</v>
      </c>
      <c r="AY55" s="78">
        <f>'01 - Stavební část'!J36</f>
        <v>0</v>
      </c>
      <c r="AZ55" s="78">
        <f>'01 - Stavební část'!F33</f>
        <v>0</v>
      </c>
      <c r="BA55" s="78">
        <f>'01 - Stavební část'!F34</f>
        <v>0</v>
      </c>
      <c r="BB55" s="78">
        <f>'01 - Stavební část'!F35</f>
        <v>0</v>
      </c>
      <c r="BC55" s="78">
        <f>'01 - Stavební část'!F36</f>
        <v>0</v>
      </c>
      <c r="BD55" s="80">
        <f>'01 - Stavební část'!F37</f>
        <v>0</v>
      </c>
      <c r="BT55" s="81" t="s">
        <v>80</v>
      </c>
      <c r="BV55" s="81" t="s">
        <v>74</v>
      </c>
      <c r="BW55" s="81" t="s">
        <v>81</v>
      </c>
      <c r="BX55" s="81" t="s">
        <v>5</v>
      </c>
      <c r="CL55" s="81" t="s">
        <v>16</v>
      </c>
      <c r="CM55" s="81" t="s">
        <v>82</v>
      </c>
    </row>
    <row r="56" spans="1:91" s="7" customFormat="1" ht="16.5" customHeight="1">
      <c r="A56" s="72" t="s">
        <v>76</v>
      </c>
      <c r="B56" s="73"/>
      <c r="C56" s="74"/>
      <c r="D56" s="335" t="s">
        <v>83</v>
      </c>
      <c r="E56" s="335"/>
      <c r="F56" s="335"/>
      <c r="G56" s="335"/>
      <c r="H56" s="335"/>
      <c r="I56" s="75"/>
      <c r="J56" s="335" t="s">
        <v>84</v>
      </c>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2">
        <f>'02 - Zdravotechnika'!J30</f>
        <v>0</v>
      </c>
      <c r="AH56" s="333"/>
      <c r="AI56" s="333"/>
      <c r="AJ56" s="333"/>
      <c r="AK56" s="333"/>
      <c r="AL56" s="333"/>
      <c r="AM56" s="333"/>
      <c r="AN56" s="332">
        <f aca="true" t="shared" si="1" ref="AN56:AN60">SUM(AG56,AT56)</f>
        <v>0</v>
      </c>
      <c r="AO56" s="333"/>
      <c r="AP56" s="333"/>
      <c r="AQ56" s="76" t="s">
        <v>79</v>
      </c>
      <c r="AR56" s="73"/>
      <c r="AS56" s="77">
        <v>0</v>
      </c>
      <c r="AT56" s="78">
        <f t="shared" si="0"/>
        <v>0</v>
      </c>
      <c r="AU56" s="79" t="e">
        <f>'02 - Zdravotechnika'!P88</f>
        <v>#REF!</v>
      </c>
      <c r="AV56" s="78">
        <f>'02 - Zdravotechnika'!J33</f>
        <v>0</v>
      </c>
      <c r="AW56" s="78">
        <f>'02 - Zdravotechnika'!J34</f>
        <v>0</v>
      </c>
      <c r="AX56" s="78">
        <f>'02 - Zdravotechnika'!J35</f>
        <v>0</v>
      </c>
      <c r="AY56" s="78">
        <f>'02 - Zdravotechnika'!J36</f>
        <v>0</v>
      </c>
      <c r="AZ56" s="78">
        <f>'02 - Zdravotechnika'!F33</f>
        <v>0</v>
      </c>
      <c r="BA56" s="78">
        <f>'02 - Zdravotechnika'!F34</f>
        <v>0</v>
      </c>
      <c r="BB56" s="78">
        <f>'02 - Zdravotechnika'!F35</f>
        <v>0</v>
      </c>
      <c r="BC56" s="78">
        <f>'02 - Zdravotechnika'!F36</f>
        <v>0</v>
      </c>
      <c r="BD56" s="80">
        <f>'02 - Zdravotechnika'!F37</f>
        <v>0</v>
      </c>
      <c r="BT56" s="81" t="s">
        <v>80</v>
      </c>
      <c r="BV56" s="81" t="s">
        <v>74</v>
      </c>
      <c r="BW56" s="81" t="s">
        <v>85</v>
      </c>
      <c r="BX56" s="81" t="s">
        <v>5</v>
      </c>
      <c r="CL56" s="81" t="s">
        <v>16</v>
      </c>
      <c r="CM56" s="81" t="s">
        <v>82</v>
      </c>
    </row>
    <row r="57" spans="1:91" s="7" customFormat="1" ht="16.5" customHeight="1">
      <c r="A57" s="72" t="s">
        <v>76</v>
      </c>
      <c r="B57" s="73"/>
      <c r="C57" s="74"/>
      <c r="D57" s="335" t="s">
        <v>86</v>
      </c>
      <c r="E57" s="335"/>
      <c r="F57" s="335"/>
      <c r="G57" s="335"/>
      <c r="H57" s="335"/>
      <c r="I57" s="75"/>
      <c r="J57" s="335" t="s">
        <v>87</v>
      </c>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2">
        <f>'03 - Vytápění'!J30</f>
        <v>0</v>
      </c>
      <c r="AH57" s="333"/>
      <c r="AI57" s="333"/>
      <c r="AJ57" s="333"/>
      <c r="AK57" s="333"/>
      <c r="AL57" s="333"/>
      <c r="AM57" s="333"/>
      <c r="AN57" s="332">
        <f t="shared" si="1"/>
        <v>0</v>
      </c>
      <c r="AO57" s="333"/>
      <c r="AP57" s="333"/>
      <c r="AQ57" s="76" t="s">
        <v>79</v>
      </c>
      <c r="AR57" s="73"/>
      <c r="AS57" s="77">
        <v>0</v>
      </c>
      <c r="AT57" s="78">
        <f t="shared" si="0"/>
        <v>0</v>
      </c>
      <c r="AU57" s="79" t="e">
        <f>'03 - Vytápění'!P85</f>
        <v>#REF!</v>
      </c>
      <c r="AV57" s="78">
        <f>'03 - Vytápění'!J33</f>
        <v>0</v>
      </c>
      <c r="AW57" s="78">
        <f>'03 - Vytápění'!J34</f>
        <v>0</v>
      </c>
      <c r="AX57" s="78">
        <f>'03 - Vytápění'!J35</f>
        <v>0</v>
      </c>
      <c r="AY57" s="78">
        <f>'03 - Vytápění'!J36</f>
        <v>0</v>
      </c>
      <c r="AZ57" s="78">
        <f>'03 - Vytápění'!F33</f>
        <v>0</v>
      </c>
      <c r="BA57" s="78">
        <f>'03 - Vytápění'!F34</f>
        <v>0</v>
      </c>
      <c r="BB57" s="78">
        <f>'03 - Vytápění'!F35</f>
        <v>0</v>
      </c>
      <c r="BC57" s="78">
        <f>'03 - Vytápění'!F36</f>
        <v>0</v>
      </c>
      <c r="BD57" s="80">
        <f>'03 - Vytápění'!F37</f>
        <v>0</v>
      </c>
      <c r="BT57" s="81" t="s">
        <v>80</v>
      </c>
      <c r="BV57" s="81" t="s">
        <v>74</v>
      </c>
      <c r="BW57" s="81" t="s">
        <v>88</v>
      </c>
      <c r="BX57" s="81" t="s">
        <v>5</v>
      </c>
      <c r="CL57" s="81" t="s">
        <v>16</v>
      </c>
      <c r="CM57" s="81" t="s">
        <v>82</v>
      </c>
    </row>
    <row r="58" spans="1:91" s="7" customFormat="1" ht="16.5" customHeight="1">
      <c r="A58" s="72" t="s">
        <v>76</v>
      </c>
      <c r="B58" s="73"/>
      <c r="C58" s="74"/>
      <c r="D58" s="335" t="s">
        <v>89</v>
      </c>
      <c r="E58" s="335"/>
      <c r="F58" s="335"/>
      <c r="G58" s="335"/>
      <c r="H58" s="335"/>
      <c r="I58" s="75"/>
      <c r="J58" s="335" t="s">
        <v>90</v>
      </c>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2">
        <f>'04 - Elektroinstalace'!J30</f>
        <v>0</v>
      </c>
      <c r="AH58" s="333"/>
      <c r="AI58" s="333"/>
      <c r="AJ58" s="333"/>
      <c r="AK58" s="333"/>
      <c r="AL58" s="333"/>
      <c r="AM58" s="333"/>
      <c r="AN58" s="332">
        <f t="shared" si="1"/>
        <v>0</v>
      </c>
      <c r="AO58" s="333"/>
      <c r="AP58" s="333"/>
      <c r="AQ58" s="76" t="s">
        <v>79</v>
      </c>
      <c r="AR58" s="73"/>
      <c r="AS58" s="77">
        <v>0</v>
      </c>
      <c r="AT58" s="78">
        <f t="shared" si="0"/>
        <v>0</v>
      </c>
      <c r="AU58" s="79">
        <f>'04 - Elektroinstalace'!P89</f>
        <v>163.152578566</v>
      </c>
      <c r="AV58" s="78">
        <f>'04 - Elektroinstalace'!J33</f>
        <v>0</v>
      </c>
      <c r="AW58" s="78">
        <f>'04 - Elektroinstalace'!J34</f>
        <v>0</v>
      </c>
      <c r="AX58" s="78">
        <f>'04 - Elektroinstalace'!J35</f>
        <v>0</v>
      </c>
      <c r="AY58" s="78">
        <f>'04 - Elektroinstalace'!J36</f>
        <v>0</v>
      </c>
      <c r="AZ58" s="78">
        <f>'04 - Elektroinstalace'!F33</f>
        <v>0</v>
      </c>
      <c r="BA58" s="78">
        <f>'04 - Elektroinstalace'!F34</f>
        <v>0</v>
      </c>
      <c r="BB58" s="78">
        <f>'04 - Elektroinstalace'!F35</f>
        <v>0</v>
      </c>
      <c r="BC58" s="78">
        <f>'04 - Elektroinstalace'!F36</f>
        <v>0</v>
      </c>
      <c r="BD58" s="80">
        <f>'04 - Elektroinstalace'!F37</f>
        <v>0</v>
      </c>
      <c r="BT58" s="81" t="s">
        <v>80</v>
      </c>
      <c r="BV58" s="81" t="s">
        <v>74</v>
      </c>
      <c r="BW58" s="81" t="s">
        <v>91</v>
      </c>
      <c r="BX58" s="81" t="s">
        <v>5</v>
      </c>
      <c r="CL58" s="81" t="s">
        <v>16</v>
      </c>
      <c r="CM58" s="81" t="s">
        <v>82</v>
      </c>
    </row>
    <row r="59" spans="1:91" s="7" customFormat="1" ht="16.5" customHeight="1">
      <c r="A59" s="72" t="s">
        <v>76</v>
      </c>
      <c r="B59" s="73"/>
      <c r="C59" s="74"/>
      <c r="D59" s="334" t="s">
        <v>92</v>
      </c>
      <c r="E59" s="334"/>
      <c r="F59" s="334"/>
      <c r="G59" s="334"/>
      <c r="H59" s="334"/>
      <c r="I59" s="75"/>
      <c r="J59" s="335" t="s">
        <v>94</v>
      </c>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2">
        <f>'05 - Interiérové vybavení'!J30</f>
        <v>0</v>
      </c>
      <c r="AH59" s="333"/>
      <c r="AI59" s="333"/>
      <c r="AJ59" s="333"/>
      <c r="AK59" s="333"/>
      <c r="AL59" s="333"/>
      <c r="AM59" s="333"/>
      <c r="AN59" s="332">
        <f t="shared" si="1"/>
        <v>0</v>
      </c>
      <c r="AO59" s="333"/>
      <c r="AP59" s="333"/>
      <c r="AQ59" s="76" t="s">
        <v>79</v>
      </c>
      <c r="AR59" s="73"/>
      <c r="AS59" s="77">
        <v>0</v>
      </c>
      <c r="AT59" s="78">
        <f t="shared" si="0"/>
        <v>0</v>
      </c>
      <c r="AU59" s="79" t="e">
        <f>'05 - Interiérové vybavení'!P81</f>
        <v>#REF!</v>
      </c>
      <c r="AV59" s="78">
        <f>'05 - Interiérové vybavení'!J33</f>
        <v>0</v>
      </c>
      <c r="AW59" s="78">
        <f>'05 - Interiérové vybavení'!J34</f>
        <v>0</v>
      </c>
      <c r="AX59" s="78">
        <f>'05 - Interiérové vybavení'!J35</f>
        <v>0</v>
      </c>
      <c r="AY59" s="78">
        <f>'05 - Interiérové vybavení'!J36</f>
        <v>0</v>
      </c>
      <c r="AZ59" s="78">
        <f>'05 - Interiérové vybavení'!F33</f>
        <v>0</v>
      </c>
      <c r="BA59" s="78">
        <f>'05 - Interiérové vybavení'!F34</f>
        <v>0</v>
      </c>
      <c r="BB59" s="78">
        <f>'05 - Interiérové vybavení'!F35</f>
        <v>0</v>
      </c>
      <c r="BC59" s="78">
        <f>'05 - Interiérové vybavení'!F36</f>
        <v>0</v>
      </c>
      <c r="BD59" s="80">
        <f>'05 - Interiérové vybavení'!F37</f>
        <v>0</v>
      </c>
      <c r="BT59" s="81" t="s">
        <v>80</v>
      </c>
      <c r="BV59" s="81" t="s">
        <v>74</v>
      </c>
      <c r="BW59" s="81" t="s">
        <v>95</v>
      </c>
      <c r="BX59" s="81" t="s">
        <v>5</v>
      </c>
      <c r="CL59" s="81" t="s">
        <v>16</v>
      </c>
      <c r="CM59" s="81" t="s">
        <v>82</v>
      </c>
    </row>
    <row r="60" spans="1:91" s="7" customFormat="1" ht="16.5" customHeight="1">
      <c r="A60" s="72" t="s">
        <v>76</v>
      </c>
      <c r="B60" s="73"/>
      <c r="C60" s="74"/>
      <c r="D60" s="334" t="s">
        <v>93</v>
      </c>
      <c r="E60" s="334"/>
      <c r="F60" s="334"/>
      <c r="G60" s="334"/>
      <c r="H60" s="334"/>
      <c r="I60" s="75"/>
      <c r="J60" s="335" t="s">
        <v>96</v>
      </c>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2">
        <f>'06 - VRN'!J30</f>
        <v>0</v>
      </c>
      <c r="AH60" s="333"/>
      <c r="AI60" s="333"/>
      <c r="AJ60" s="333"/>
      <c r="AK60" s="333"/>
      <c r="AL60" s="333"/>
      <c r="AM60" s="333"/>
      <c r="AN60" s="332">
        <f t="shared" si="1"/>
        <v>0</v>
      </c>
      <c r="AO60" s="333"/>
      <c r="AP60" s="333"/>
      <c r="AQ60" s="76" t="s">
        <v>79</v>
      </c>
      <c r="AR60" s="73"/>
      <c r="AS60" s="82">
        <v>0</v>
      </c>
      <c r="AT60" s="83">
        <f t="shared" si="0"/>
        <v>0</v>
      </c>
      <c r="AU60" s="84" t="e">
        <f>'06 - VRN'!P82</f>
        <v>#REF!</v>
      </c>
      <c r="AV60" s="83">
        <f>'06 - VRN'!J33</f>
        <v>0</v>
      </c>
      <c r="AW60" s="83">
        <f>'06 - VRN'!J34</f>
        <v>0</v>
      </c>
      <c r="AX60" s="83">
        <f>'06 - VRN'!J35</f>
        <v>0</v>
      </c>
      <c r="AY60" s="83">
        <f>'06 - VRN'!J36</f>
        <v>0</v>
      </c>
      <c r="AZ60" s="83">
        <f>'06 - VRN'!F33</f>
        <v>0</v>
      </c>
      <c r="BA60" s="83">
        <f>'06 - VRN'!F34</f>
        <v>0</v>
      </c>
      <c r="BB60" s="83">
        <f>'06 - VRN'!F35</f>
        <v>0</v>
      </c>
      <c r="BC60" s="83">
        <f>'06 - VRN'!F36</f>
        <v>0</v>
      </c>
      <c r="BD60" s="85">
        <f>'06 - VRN'!F37</f>
        <v>0</v>
      </c>
      <c r="BT60" s="81" t="s">
        <v>80</v>
      </c>
      <c r="BV60" s="81" t="s">
        <v>74</v>
      </c>
      <c r="BW60" s="81" t="s">
        <v>97</v>
      </c>
      <c r="BX60" s="81" t="s">
        <v>5</v>
      </c>
      <c r="CL60" s="81" t="s">
        <v>16</v>
      </c>
      <c r="CM60" s="81" t="s">
        <v>82</v>
      </c>
    </row>
    <row r="61" spans="1:57" s="2" customFormat="1" ht="30" customHeight="1">
      <c r="A61" s="30"/>
      <c r="B61" s="31"/>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1"/>
      <c r="AS61" s="30"/>
      <c r="AT61" s="30"/>
      <c r="AU61" s="30"/>
      <c r="AV61" s="30"/>
      <c r="AW61" s="30"/>
      <c r="AX61" s="30"/>
      <c r="AY61" s="30"/>
      <c r="AZ61" s="30"/>
      <c r="BA61" s="30"/>
      <c r="BB61" s="30"/>
      <c r="BC61" s="30"/>
      <c r="BD61" s="30"/>
      <c r="BE61" s="30"/>
    </row>
    <row r="62" spans="1:57" s="2" customFormat="1" ht="6.95" customHeight="1">
      <c r="A62" s="30"/>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31"/>
      <c r="AS62" s="30"/>
      <c r="AT62" s="30"/>
      <c r="AU62" s="30"/>
      <c r="AV62" s="30"/>
      <c r="AW62" s="30"/>
      <c r="AX62" s="30"/>
      <c r="AY62" s="30"/>
      <c r="AZ62" s="30"/>
      <c r="BA62" s="30"/>
      <c r="BB62" s="30"/>
      <c r="BC62" s="30"/>
      <c r="BD62" s="30"/>
      <c r="BE62" s="30"/>
    </row>
  </sheetData>
  <mergeCells count="60">
    <mergeCell ref="L45:AO45"/>
    <mergeCell ref="AM47:AN47"/>
    <mergeCell ref="AM49:AP49"/>
    <mergeCell ref="AS49:AT51"/>
    <mergeCell ref="AM50:AP50"/>
    <mergeCell ref="C52:G52"/>
    <mergeCell ref="AN52:AP52"/>
    <mergeCell ref="AG52:AM52"/>
    <mergeCell ref="I52:AF52"/>
    <mergeCell ref="AN55:AP55"/>
    <mergeCell ref="D55:H55"/>
    <mergeCell ref="AG55:AM55"/>
    <mergeCell ref="J55:AF55"/>
    <mergeCell ref="AG54:AM54"/>
    <mergeCell ref="AN54:AP54"/>
    <mergeCell ref="AN58:AP58"/>
    <mergeCell ref="AG58:AM58"/>
    <mergeCell ref="J58:AF58"/>
    <mergeCell ref="D58:H58"/>
    <mergeCell ref="J56:AF56"/>
    <mergeCell ref="D56:H56"/>
    <mergeCell ref="AN56:AP56"/>
    <mergeCell ref="AG56:AM56"/>
    <mergeCell ref="J57:AF57"/>
    <mergeCell ref="AG57:AM57"/>
    <mergeCell ref="D57:H57"/>
    <mergeCell ref="AN57:AP57"/>
    <mergeCell ref="AN59:AP59"/>
    <mergeCell ref="AG59:AM59"/>
    <mergeCell ref="D59:H59"/>
    <mergeCell ref="J59:AF59"/>
    <mergeCell ref="AN60:AP60"/>
    <mergeCell ref="AG60:AM60"/>
    <mergeCell ref="D60:H60"/>
    <mergeCell ref="J60:AF60"/>
    <mergeCell ref="L30:P30"/>
    <mergeCell ref="W30:AE30"/>
    <mergeCell ref="K5:AO5"/>
    <mergeCell ref="K6:AO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55" location="'01 - Stavební část'!C2" display="/"/>
    <hyperlink ref="A56" location="'02 - Zdravotechnika'!C2" display="/"/>
    <hyperlink ref="A57" location="'03 - Vytápění'!C2" display="/"/>
    <hyperlink ref="A58" location="'04 - Elektroinstalace'!C2" display="/"/>
    <hyperlink ref="A59" location="'06 - Interiérové vybavení'!C2" display="/"/>
    <hyperlink ref="A60" location="'07 - VRN'!C2" display="/"/>
  </hyperlinks>
  <printOptions horizontalCentered="1"/>
  <pageMargins left="0.3937007874015748" right="0.3937007874015748" top="0.3937007874015748" bottom="0.3937007874015748" header="0" footer="0"/>
  <pageSetup fitToHeight="100" horizontalDpi="600" verticalDpi="600" orientation="portrait" paperSize="9" scale="66"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317"/>
  <sheetViews>
    <sheetView showGridLines="0" view="pageBreakPreview" zoomScale="110" zoomScaleSheetLayoutView="110" workbookViewId="0" topLeftCell="A81">
      <selection activeCell="I94" sqref="I94:I3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17" t="s">
        <v>6</v>
      </c>
      <c r="M2" s="318"/>
      <c r="N2" s="318"/>
      <c r="O2" s="318"/>
      <c r="P2" s="318"/>
      <c r="Q2" s="318"/>
      <c r="R2" s="318"/>
      <c r="S2" s="318"/>
      <c r="T2" s="318"/>
      <c r="U2" s="318"/>
      <c r="V2" s="318"/>
      <c r="AT2" s="18" t="s">
        <v>81</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87" t="s">
        <v>11</v>
      </c>
      <c r="AT4" s="18" t="s">
        <v>4</v>
      </c>
    </row>
    <row r="5" spans="2:12" s="1" customFormat="1" ht="6.95" customHeight="1">
      <c r="B5" s="21"/>
      <c r="L5" s="21"/>
    </row>
    <row r="6" spans="2:12" s="1" customFormat="1" ht="12" customHeight="1">
      <c r="B6" s="21"/>
      <c r="D6" s="27" t="s">
        <v>14</v>
      </c>
      <c r="L6" s="21"/>
    </row>
    <row r="7" spans="2:12" s="1" customFormat="1" ht="29.25" customHeight="1">
      <c r="B7" s="21"/>
      <c r="E7" s="352" t="str">
        <f>'Rekapitulace stavby'!K6</f>
        <v>Modernizace prostor ambulancí chirurgického oddělení v suterénu budovy A - Nemocnice Nymburk, s.r.o.</v>
      </c>
      <c r="F7" s="353"/>
      <c r="G7" s="353"/>
      <c r="H7" s="353"/>
      <c r="L7" s="21"/>
    </row>
    <row r="8" spans="1:31" s="2" customFormat="1" ht="12" customHeight="1">
      <c r="A8" s="30"/>
      <c r="B8" s="31"/>
      <c r="C8" s="30"/>
      <c r="D8" s="27" t="s">
        <v>99</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42" t="s">
        <v>100</v>
      </c>
      <c r="F9" s="351"/>
      <c r="G9" s="351"/>
      <c r="H9" s="351"/>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16</v>
      </c>
      <c r="G11" s="30"/>
      <c r="H11" s="30"/>
      <c r="I11" s="27" t="s">
        <v>17</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19</v>
      </c>
      <c r="E12" s="30"/>
      <c r="F12" s="25" t="s">
        <v>20</v>
      </c>
      <c r="G12" s="30"/>
      <c r="H12" s="30"/>
      <c r="I12" s="27" t="s">
        <v>21</v>
      </c>
      <c r="J12" s="48">
        <f>'Rekapitulace stavby'!AN8</f>
        <v>44152</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24</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25</v>
      </c>
      <c r="F15" s="30"/>
      <c r="G15" s="30"/>
      <c r="H15" s="30"/>
      <c r="I15" s="27" t="s">
        <v>26</v>
      </c>
      <c r="J15" s="25" t="s">
        <v>27</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28</v>
      </c>
      <c r="E17" s="30"/>
      <c r="F17" s="30"/>
      <c r="G17" s="30"/>
      <c r="H17" s="30"/>
      <c r="I17" s="27" t="s">
        <v>23</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26" t="str">
        <f>'Rekapitulace stavby'!E14</f>
        <v xml:space="preserve"> </v>
      </c>
      <c r="F18" s="326"/>
      <c r="G18" s="326"/>
      <c r="H18" s="326"/>
      <c r="I18" s="27" t="s">
        <v>26</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30</v>
      </c>
      <c r="E20" s="30"/>
      <c r="F20" s="30"/>
      <c r="G20" s="30"/>
      <c r="H20" s="30"/>
      <c r="I20" s="27" t="s">
        <v>23</v>
      </c>
      <c r="J20" s="25" t="s">
        <v>31</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32</v>
      </c>
      <c r="F21" s="30"/>
      <c r="G21" s="30"/>
      <c r="H21" s="30"/>
      <c r="I21" s="27" t="s">
        <v>26</v>
      </c>
      <c r="J21" s="25" t="s">
        <v>33</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35</v>
      </c>
      <c r="E23" s="30"/>
      <c r="F23" s="30"/>
      <c r="G23" s="30"/>
      <c r="H23" s="30"/>
      <c r="I23" s="27" t="s">
        <v>23</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26</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28" t="s">
        <v>37</v>
      </c>
      <c r="F27" s="328"/>
      <c r="G27" s="328"/>
      <c r="H27" s="328"/>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38</v>
      </c>
      <c r="E30" s="30"/>
      <c r="F30" s="30"/>
      <c r="G30" s="30"/>
      <c r="H30" s="30"/>
      <c r="I30" s="30"/>
      <c r="J30" s="64">
        <f>ROUND(J91,2)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t="s">
        <v>39</v>
      </c>
      <c r="J32" s="34" t="s">
        <v>41</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42</v>
      </c>
      <c r="E33" s="27" t="s">
        <v>43</v>
      </c>
      <c r="F33" s="94">
        <f>ROUND((SUM(BE91:BE316)),2)</f>
        <v>0</v>
      </c>
      <c r="G33" s="30"/>
      <c r="H33" s="30"/>
      <c r="I33" s="95">
        <v>0.21</v>
      </c>
      <c r="J33" s="94">
        <f>ROUND(((SUM(BE91:BE316))*I33),2)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44</v>
      </c>
      <c r="F34" s="94">
        <f>ROUND((SUM(BF91:BF316)),2)</f>
        <v>0</v>
      </c>
      <c r="G34" s="30"/>
      <c r="H34" s="30"/>
      <c r="I34" s="95">
        <v>0.15</v>
      </c>
      <c r="J34" s="94">
        <f>ROUND(((SUM(BF91:BF316))*I34),2)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45</v>
      </c>
      <c r="F35" s="94">
        <f>ROUND((SUM(BG91:BG316)),2)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46</v>
      </c>
      <c r="F36" s="94">
        <f>ROUND((SUM(BH91:BH316)),2)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47</v>
      </c>
      <c r="F37" s="94">
        <f>ROUND((SUM(BI91:BI316)),2)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48</v>
      </c>
      <c r="E39" s="53"/>
      <c r="F39" s="53"/>
      <c r="G39" s="98" t="s">
        <v>49</v>
      </c>
      <c r="H39" s="99" t="s">
        <v>50</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101</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14</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8.5" customHeight="1">
      <c r="A48" s="30"/>
      <c r="B48" s="31"/>
      <c r="C48" s="30"/>
      <c r="D48" s="30"/>
      <c r="E48" s="352" t="str">
        <f>E7</f>
        <v>Modernizace prostor ambulancí chirurgického oddělení v suterénu budovy A - Nemocnice Nymburk, s.r.o.</v>
      </c>
      <c r="F48" s="353"/>
      <c r="G48" s="353"/>
      <c r="H48" s="353"/>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99</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42" t="str">
        <f>E9</f>
        <v>01 - Stavební část</v>
      </c>
      <c r="F50" s="351"/>
      <c r="G50" s="351"/>
      <c r="H50" s="351"/>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19</v>
      </c>
      <c r="D52" s="30"/>
      <c r="E52" s="30"/>
      <c r="F52" s="25" t="str">
        <f>F12</f>
        <v>Nymburk</v>
      </c>
      <c r="G52" s="30"/>
      <c r="H52" s="30"/>
      <c r="I52" s="27" t="s">
        <v>21</v>
      </c>
      <c r="J52" s="48">
        <f>IF(J12="","",J12)</f>
        <v>44152</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22</v>
      </c>
      <c r="D54" s="30"/>
      <c r="E54" s="30"/>
      <c r="F54" s="25" t="str">
        <f>E15</f>
        <v>Nemocnice Nymburk s.r.o.</v>
      </c>
      <c r="G54" s="30"/>
      <c r="H54" s="30"/>
      <c r="I54" s="27" t="s">
        <v>30</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28</v>
      </c>
      <c r="D55" s="30"/>
      <c r="E55" s="30"/>
      <c r="F55" s="25" t="str">
        <f>IF(E18="","",E18)</f>
        <v xml:space="preserve"> </v>
      </c>
      <c r="G55" s="30"/>
      <c r="H55" s="30"/>
      <c r="I55" s="27" t="s">
        <v>35</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102</v>
      </c>
      <c r="D57" s="96"/>
      <c r="E57" s="96"/>
      <c r="F57" s="96"/>
      <c r="G57" s="96"/>
      <c r="H57" s="96"/>
      <c r="I57" s="96"/>
      <c r="J57" s="103" t="s">
        <v>103</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70</v>
      </c>
      <c r="D59" s="30"/>
      <c r="E59" s="30"/>
      <c r="F59" s="30"/>
      <c r="G59" s="30"/>
      <c r="H59" s="30"/>
      <c r="I59" s="30"/>
      <c r="J59" s="64">
        <f>J60+J64</f>
        <v>0</v>
      </c>
      <c r="K59" s="30"/>
      <c r="L59" s="88"/>
      <c r="S59" s="30"/>
      <c r="T59" s="30"/>
      <c r="U59" s="30"/>
      <c r="V59" s="30"/>
      <c r="W59" s="30"/>
      <c r="X59" s="30"/>
      <c r="Y59" s="30"/>
      <c r="Z59" s="30"/>
      <c r="AA59" s="30"/>
      <c r="AB59" s="30"/>
      <c r="AC59" s="30"/>
      <c r="AD59" s="30"/>
      <c r="AE59" s="30"/>
      <c r="AU59" s="18" t="s">
        <v>104</v>
      </c>
    </row>
    <row r="60" spans="2:12" s="9" customFormat="1" ht="24.95" customHeight="1">
      <c r="B60" s="105"/>
      <c r="D60" s="106" t="s">
        <v>105</v>
      </c>
      <c r="E60" s="107"/>
      <c r="F60" s="107"/>
      <c r="G60" s="107"/>
      <c r="H60" s="107"/>
      <c r="I60" s="107"/>
      <c r="J60" s="108">
        <f>J61+J62+J63</f>
        <v>0</v>
      </c>
      <c r="L60" s="105"/>
    </row>
    <row r="61" spans="2:12" s="10" customFormat="1" ht="19.9" customHeight="1">
      <c r="B61" s="109"/>
      <c r="D61" s="110" t="s">
        <v>108</v>
      </c>
      <c r="E61" s="111"/>
      <c r="F61" s="111"/>
      <c r="G61" s="111"/>
      <c r="H61" s="111"/>
      <c r="I61" s="111"/>
      <c r="J61" s="112">
        <f>J119</f>
        <v>0</v>
      </c>
      <c r="L61" s="109"/>
    </row>
    <row r="62" spans="2:12" s="10" customFormat="1" ht="19.9" customHeight="1">
      <c r="B62" s="109"/>
      <c r="D62" s="110" t="s">
        <v>109</v>
      </c>
      <c r="E62" s="111"/>
      <c r="F62" s="111"/>
      <c r="G62" s="111"/>
      <c r="H62" s="111"/>
      <c r="I62" s="111"/>
      <c r="J62" s="268">
        <f>J151</f>
        <v>0</v>
      </c>
      <c r="L62" s="109"/>
    </row>
    <row r="63" spans="2:12" s="10" customFormat="1" ht="19.9" customHeight="1">
      <c r="B63" s="109"/>
      <c r="D63" s="110" t="s">
        <v>110</v>
      </c>
      <c r="E63" s="111"/>
      <c r="F63" s="111"/>
      <c r="G63" s="111"/>
      <c r="H63" s="111"/>
      <c r="I63" s="111"/>
      <c r="J63" s="112">
        <f>J164</f>
        <v>0</v>
      </c>
      <c r="L63" s="109"/>
    </row>
    <row r="64" spans="2:12" s="9" customFormat="1" ht="24.95" customHeight="1">
      <c r="B64" s="105"/>
      <c r="D64" s="106" t="s">
        <v>111</v>
      </c>
      <c r="E64" s="107"/>
      <c r="F64" s="107"/>
      <c r="G64" s="107"/>
      <c r="H64" s="107"/>
      <c r="I64" s="107"/>
      <c r="J64" s="108">
        <f>SUM(J65:J71)</f>
        <v>0</v>
      </c>
      <c r="L64" s="105"/>
    </row>
    <row r="65" spans="2:12" s="10" customFormat="1" ht="19.9" customHeight="1">
      <c r="B65" s="109"/>
      <c r="D65" s="110" t="s">
        <v>112</v>
      </c>
      <c r="E65" s="111"/>
      <c r="F65" s="111"/>
      <c r="G65" s="111"/>
      <c r="H65" s="111"/>
      <c r="I65" s="111"/>
      <c r="J65" s="112">
        <f>J168</f>
        <v>0</v>
      </c>
      <c r="L65" s="109"/>
    </row>
    <row r="66" spans="2:12" s="10" customFormat="1" ht="19.9" customHeight="1">
      <c r="B66" s="109"/>
      <c r="D66" s="110" t="s">
        <v>113</v>
      </c>
      <c r="E66" s="111"/>
      <c r="F66" s="111"/>
      <c r="G66" s="111"/>
      <c r="H66" s="111"/>
      <c r="I66" s="111"/>
      <c r="J66" s="268">
        <f>J186</f>
        <v>0</v>
      </c>
      <c r="L66" s="109"/>
    </row>
    <row r="67" spans="2:12" s="10" customFormat="1" ht="19.9" customHeight="1">
      <c r="B67" s="109"/>
      <c r="D67" s="110" t="s">
        <v>1028</v>
      </c>
      <c r="E67" s="111"/>
      <c r="F67" s="111"/>
      <c r="G67" s="111"/>
      <c r="H67" s="111"/>
      <c r="I67" s="111"/>
      <c r="J67" s="268">
        <f>J203</f>
        <v>0</v>
      </c>
      <c r="L67" s="109"/>
    </row>
    <row r="68" spans="2:12" s="10" customFormat="1" ht="19.9" customHeight="1">
      <c r="B68" s="109"/>
      <c r="D68" s="110" t="s">
        <v>114</v>
      </c>
      <c r="E68" s="111"/>
      <c r="F68" s="111"/>
      <c r="G68" s="111"/>
      <c r="H68" s="111"/>
      <c r="I68" s="111"/>
      <c r="J68" s="112">
        <f>J210</f>
        <v>0</v>
      </c>
      <c r="L68" s="109"/>
    </row>
    <row r="69" spans="2:12" s="10" customFormat="1" ht="19.9" customHeight="1">
      <c r="B69" s="109"/>
      <c r="D69" s="110" t="s">
        <v>115</v>
      </c>
      <c r="E69" s="111"/>
      <c r="F69" s="111"/>
      <c r="G69" s="111"/>
      <c r="H69" s="111"/>
      <c r="I69" s="111"/>
      <c r="J69" s="268">
        <f>J251</f>
        <v>0</v>
      </c>
      <c r="L69" s="109"/>
    </row>
    <row r="70" spans="2:12" s="10" customFormat="1" ht="19.9" customHeight="1">
      <c r="B70" s="109"/>
      <c r="D70" s="110" t="s">
        <v>116</v>
      </c>
      <c r="E70" s="111"/>
      <c r="F70" s="111"/>
      <c r="G70" s="111"/>
      <c r="H70" s="111"/>
      <c r="I70" s="111"/>
      <c r="J70" s="112">
        <f>J285</f>
        <v>0</v>
      </c>
      <c r="L70" s="109"/>
    </row>
    <row r="71" spans="2:12" s="10" customFormat="1" ht="19.9" customHeight="1">
      <c r="B71" s="109"/>
      <c r="D71" s="110" t="s">
        <v>117</v>
      </c>
      <c r="E71" s="111"/>
      <c r="F71" s="111"/>
      <c r="G71" s="111"/>
      <c r="H71" s="111"/>
      <c r="I71" s="111"/>
      <c r="J71" s="112">
        <f>J288</f>
        <v>0</v>
      </c>
      <c r="L71" s="109"/>
    </row>
    <row r="72" spans="1:31" s="2" customFormat="1" ht="21.75" customHeight="1">
      <c r="A72" s="30"/>
      <c r="B72" s="31"/>
      <c r="C72" s="30"/>
      <c r="D72" s="30"/>
      <c r="E72" s="30"/>
      <c r="F72" s="30"/>
      <c r="G72" s="30"/>
      <c r="H72" s="30"/>
      <c r="I72" s="30"/>
      <c r="J72" s="30"/>
      <c r="K72" s="30"/>
      <c r="L72" s="88"/>
      <c r="S72" s="30"/>
      <c r="T72" s="30"/>
      <c r="U72" s="30"/>
      <c r="V72" s="30"/>
      <c r="W72" s="30"/>
      <c r="X72" s="30"/>
      <c r="Y72" s="30"/>
      <c r="Z72" s="30"/>
      <c r="AA72" s="30"/>
      <c r="AB72" s="30"/>
      <c r="AC72" s="30"/>
      <c r="AD72" s="30"/>
      <c r="AE72" s="30"/>
    </row>
    <row r="73" spans="1:31" s="2" customFormat="1" ht="6.95" customHeight="1">
      <c r="A73" s="30"/>
      <c r="B73" s="40"/>
      <c r="C73" s="41"/>
      <c r="D73" s="41"/>
      <c r="E73" s="41"/>
      <c r="F73" s="41"/>
      <c r="G73" s="41"/>
      <c r="H73" s="41"/>
      <c r="I73" s="41"/>
      <c r="J73" s="41"/>
      <c r="K73" s="41"/>
      <c r="L73" s="88"/>
      <c r="S73" s="30"/>
      <c r="T73" s="30"/>
      <c r="U73" s="30"/>
      <c r="V73" s="30"/>
      <c r="W73" s="30"/>
      <c r="X73" s="30"/>
      <c r="Y73" s="30"/>
      <c r="Z73" s="30"/>
      <c r="AA73" s="30"/>
      <c r="AB73" s="30"/>
      <c r="AC73" s="30"/>
      <c r="AD73" s="30"/>
      <c r="AE73" s="30"/>
    </row>
    <row r="77" spans="1:31" s="2" customFormat="1" ht="6.95" customHeight="1">
      <c r="A77" s="30"/>
      <c r="B77" s="42"/>
      <c r="C77" s="43"/>
      <c r="D77" s="43"/>
      <c r="E77" s="43"/>
      <c r="F77" s="43"/>
      <c r="G77" s="43"/>
      <c r="H77" s="43"/>
      <c r="I77" s="43"/>
      <c r="J77" s="43"/>
      <c r="K77" s="43"/>
      <c r="L77" s="88"/>
      <c r="S77" s="30"/>
      <c r="T77" s="30"/>
      <c r="U77" s="30"/>
      <c r="V77" s="30"/>
      <c r="W77" s="30"/>
      <c r="X77" s="30"/>
      <c r="Y77" s="30"/>
      <c r="Z77" s="30"/>
      <c r="AA77" s="30"/>
      <c r="AB77" s="30"/>
      <c r="AC77" s="30"/>
      <c r="AD77" s="30"/>
      <c r="AE77" s="30"/>
    </row>
    <row r="78" spans="1:31" s="2" customFormat="1" ht="24.95" customHeight="1">
      <c r="A78" s="30"/>
      <c r="B78" s="31"/>
      <c r="C78" s="22" t="s">
        <v>118</v>
      </c>
      <c r="D78" s="30"/>
      <c r="E78" s="30"/>
      <c r="F78" s="30"/>
      <c r="G78" s="30"/>
      <c r="H78" s="30"/>
      <c r="I78" s="30"/>
      <c r="J78" s="30"/>
      <c r="K78" s="30"/>
      <c r="L78" s="88"/>
      <c r="S78" s="30"/>
      <c r="T78" s="30"/>
      <c r="U78" s="30"/>
      <c r="V78" s="30"/>
      <c r="W78" s="30"/>
      <c r="X78" s="30"/>
      <c r="Y78" s="30"/>
      <c r="Z78" s="30"/>
      <c r="AA78" s="30"/>
      <c r="AB78" s="30"/>
      <c r="AC78" s="30"/>
      <c r="AD78" s="30"/>
      <c r="AE78" s="30"/>
    </row>
    <row r="79" spans="1:31" s="2" customFormat="1" ht="6.95" customHeight="1">
      <c r="A79" s="30"/>
      <c r="B79" s="31"/>
      <c r="C79" s="30"/>
      <c r="D79" s="30"/>
      <c r="E79" s="30"/>
      <c r="F79" s="30"/>
      <c r="G79" s="30"/>
      <c r="H79" s="30"/>
      <c r="I79" s="30"/>
      <c r="J79" s="30"/>
      <c r="K79" s="30"/>
      <c r="L79" s="88"/>
      <c r="S79" s="30"/>
      <c r="T79" s="30"/>
      <c r="U79" s="30"/>
      <c r="V79" s="30"/>
      <c r="W79" s="30"/>
      <c r="X79" s="30"/>
      <c r="Y79" s="30"/>
      <c r="Z79" s="30"/>
      <c r="AA79" s="30"/>
      <c r="AB79" s="30"/>
      <c r="AC79" s="30"/>
      <c r="AD79" s="30"/>
      <c r="AE79" s="30"/>
    </row>
    <row r="80" spans="1:31" s="2" customFormat="1" ht="12" customHeight="1">
      <c r="A80" s="30"/>
      <c r="B80" s="31"/>
      <c r="C80" s="27" t="s">
        <v>14</v>
      </c>
      <c r="D80" s="30"/>
      <c r="E80" s="30"/>
      <c r="F80" s="30"/>
      <c r="G80" s="30"/>
      <c r="H80" s="30"/>
      <c r="I80" s="30"/>
      <c r="J80" s="30"/>
      <c r="K80" s="30"/>
      <c r="L80" s="88"/>
      <c r="S80" s="30"/>
      <c r="T80" s="30"/>
      <c r="U80" s="30"/>
      <c r="V80" s="30"/>
      <c r="W80" s="30"/>
      <c r="X80" s="30"/>
      <c r="Y80" s="30"/>
      <c r="Z80" s="30"/>
      <c r="AA80" s="30"/>
      <c r="AB80" s="30"/>
      <c r="AC80" s="30"/>
      <c r="AD80" s="30"/>
      <c r="AE80" s="30"/>
    </row>
    <row r="81" spans="1:31" s="2" customFormat="1" ht="33" customHeight="1">
      <c r="A81" s="30"/>
      <c r="B81" s="31"/>
      <c r="C81" s="30"/>
      <c r="D81" s="30"/>
      <c r="E81" s="352" t="str">
        <f>E7</f>
        <v>Modernizace prostor ambulancí chirurgického oddělení v suterénu budovy A - Nemocnice Nymburk, s.r.o.</v>
      </c>
      <c r="F81" s="353"/>
      <c r="G81" s="353"/>
      <c r="H81" s="353"/>
      <c r="I81" s="30"/>
      <c r="J81" s="30"/>
      <c r="K81" s="30"/>
      <c r="L81" s="88"/>
      <c r="S81" s="30"/>
      <c r="T81" s="30"/>
      <c r="U81" s="30"/>
      <c r="V81" s="30"/>
      <c r="W81" s="30"/>
      <c r="X81" s="30"/>
      <c r="Y81" s="30"/>
      <c r="Z81" s="30"/>
      <c r="AA81" s="30"/>
      <c r="AB81" s="30"/>
      <c r="AC81" s="30"/>
      <c r="AD81" s="30"/>
      <c r="AE81" s="30"/>
    </row>
    <row r="82" spans="1:31" s="2" customFormat="1" ht="12" customHeight="1">
      <c r="A82" s="30"/>
      <c r="B82" s="31"/>
      <c r="C82" s="27" t="s">
        <v>99</v>
      </c>
      <c r="D82" s="30"/>
      <c r="E82" s="30"/>
      <c r="F82" s="30"/>
      <c r="G82" s="30"/>
      <c r="H82" s="30"/>
      <c r="I82" s="30"/>
      <c r="J82" s="30"/>
      <c r="K82" s="30"/>
      <c r="L82" s="88"/>
      <c r="S82" s="30"/>
      <c r="T82" s="30"/>
      <c r="U82" s="30"/>
      <c r="V82" s="30"/>
      <c r="W82" s="30"/>
      <c r="X82" s="30"/>
      <c r="Y82" s="30"/>
      <c r="Z82" s="30"/>
      <c r="AA82" s="30"/>
      <c r="AB82" s="30"/>
      <c r="AC82" s="30"/>
      <c r="AD82" s="30"/>
      <c r="AE82" s="30"/>
    </row>
    <row r="83" spans="1:31" s="2" customFormat="1" ht="16.5" customHeight="1">
      <c r="A83" s="30"/>
      <c r="B83" s="31"/>
      <c r="C83" s="30"/>
      <c r="D83" s="30"/>
      <c r="E83" s="342" t="str">
        <f>E9</f>
        <v>01 - Stavební část</v>
      </c>
      <c r="F83" s="351"/>
      <c r="G83" s="351"/>
      <c r="H83" s="351"/>
      <c r="I83" s="30"/>
      <c r="J83" s="30"/>
      <c r="K83" s="30"/>
      <c r="L83" s="88"/>
      <c r="S83" s="30"/>
      <c r="T83" s="30"/>
      <c r="U83" s="30"/>
      <c r="V83" s="30"/>
      <c r="W83" s="30"/>
      <c r="X83" s="30"/>
      <c r="Y83" s="30"/>
      <c r="Z83" s="30"/>
      <c r="AA83" s="30"/>
      <c r="AB83" s="30"/>
      <c r="AC83" s="30"/>
      <c r="AD83" s="30"/>
      <c r="AE83" s="30"/>
    </row>
    <row r="84" spans="1:31" s="2" customFormat="1" ht="6.95" customHeight="1">
      <c r="A84" s="30"/>
      <c r="B84" s="31"/>
      <c r="C84" s="30"/>
      <c r="D84" s="30"/>
      <c r="E84" s="30"/>
      <c r="F84" s="30"/>
      <c r="G84" s="30"/>
      <c r="H84" s="30"/>
      <c r="I84" s="30"/>
      <c r="J84" s="30"/>
      <c r="K84" s="30"/>
      <c r="L84" s="88"/>
      <c r="S84" s="30"/>
      <c r="T84" s="30"/>
      <c r="U84" s="30"/>
      <c r="V84" s="30"/>
      <c r="W84" s="30"/>
      <c r="X84" s="30"/>
      <c r="Y84" s="30"/>
      <c r="Z84" s="30"/>
      <c r="AA84" s="30"/>
      <c r="AB84" s="30"/>
      <c r="AC84" s="30"/>
      <c r="AD84" s="30"/>
      <c r="AE84" s="30"/>
    </row>
    <row r="85" spans="1:31" s="2" customFormat="1" ht="12" customHeight="1">
      <c r="A85" s="30"/>
      <c r="B85" s="31"/>
      <c r="C85" s="27" t="s">
        <v>19</v>
      </c>
      <c r="D85" s="30"/>
      <c r="E85" s="30"/>
      <c r="F85" s="25" t="str">
        <f>F12</f>
        <v>Nymburk</v>
      </c>
      <c r="G85" s="30"/>
      <c r="H85" s="30"/>
      <c r="I85" s="27" t="s">
        <v>21</v>
      </c>
      <c r="J85" s="48">
        <f>IF(J12="","",J12)</f>
        <v>44152</v>
      </c>
      <c r="K85" s="30"/>
      <c r="L85" s="88"/>
      <c r="S85" s="30"/>
      <c r="T85" s="30"/>
      <c r="U85" s="30"/>
      <c r="V85" s="30"/>
      <c r="W85" s="30"/>
      <c r="X85" s="30"/>
      <c r="Y85" s="30"/>
      <c r="Z85" s="30"/>
      <c r="AA85" s="30"/>
      <c r="AB85" s="30"/>
      <c r="AC85" s="30"/>
      <c r="AD85" s="30"/>
      <c r="AE85" s="30"/>
    </row>
    <row r="86" spans="1:31" s="2" customFormat="1" ht="6.95" customHeight="1">
      <c r="A86" s="30"/>
      <c r="B86" s="31"/>
      <c r="C86" s="30"/>
      <c r="D86" s="30"/>
      <c r="E86" s="30"/>
      <c r="F86" s="30"/>
      <c r="G86" s="30"/>
      <c r="H86" s="30"/>
      <c r="I86" s="30"/>
      <c r="J86" s="30"/>
      <c r="K86" s="30"/>
      <c r="L86" s="88"/>
      <c r="S86" s="30"/>
      <c r="T86" s="30"/>
      <c r="U86" s="30"/>
      <c r="V86" s="30"/>
      <c r="W86" s="30"/>
      <c r="X86" s="30"/>
      <c r="Y86" s="30"/>
      <c r="Z86" s="30"/>
      <c r="AA86" s="30"/>
      <c r="AB86" s="30"/>
      <c r="AC86" s="30"/>
      <c r="AD86" s="30"/>
      <c r="AE86" s="30"/>
    </row>
    <row r="87" spans="1:31" s="2" customFormat="1" ht="25.7" customHeight="1">
      <c r="A87" s="30"/>
      <c r="B87" s="31"/>
      <c r="C87" s="27" t="s">
        <v>22</v>
      </c>
      <c r="D87" s="30"/>
      <c r="E87" s="30"/>
      <c r="F87" s="25" t="str">
        <f>E15</f>
        <v>Nemocnice Nymburk s.r.o.</v>
      </c>
      <c r="G87" s="30"/>
      <c r="H87" s="30"/>
      <c r="I87" s="27" t="s">
        <v>30</v>
      </c>
      <c r="J87" s="28" t="str">
        <f>E21</f>
        <v>Ing. arch. Pavel Petrák</v>
      </c>
      <c r="K87" s="30"/>
      <c r="L87" s="88"/>
      <c r="S87" s="30"/>
      <c r="T87" s="30"/>
      <c r="U87" s="30"/>
      <c r="V87" s="30"/>
      <c r="W87" s="30"/>
      <c r="X87" s="30"/>
      <c r="Y87" s="30"/>
      <c r="Z87" s="30"/>
      <c r="AA87" s="30"/>
      <c r="AB87" s="30"/>
      <c r="AC87" s="30"/>
      <c r="AD87" s="30"/>
      <c r="AE87" s="30"/>
    </row>
    <row r="88" spans="1:31" s="2" customFormat="1" ht="15.2" customHeight="1">
      <c r="A88" s="30"/>
      <c r="B88" s="31"/>
      <c r="C88" s="27" t="s">
        <v>28</v>
      </c>
      <c r="D88" s="30"/>
      <c r="E88" s="30"/>
      <c r="F88" s="25" t="str">
        <f>IF(E18="","",E18)</f>
        <v xml:space="preserve"> </v>
      </c>
      <c r="G88" s="30"/>
      <c r="H88" s="30"/>
      <c r="I88" s="27" t="s">
        <v>35</v>
      </c>
      <c r="J88" s="28" t="str">
        <f>E24</f>
        <v xml:space="preserve"> </v>
      </c>
      <c r="K88" s="30"/>
      <c r="L88" s="88"/>
      <c r="S88" s="30"/>
      <c r="T88" s="30"/>
      <c r="U88" s="30"/>
      <c r="V88" s="30"/>
      <c r="W88" s="30"/>
      <c r="X88" s="30"/>
      <c r="Y88" s="30"/>
      <c r="Z88" s="30"/>
      <c r="AA88" s="30"/>
      <c r="AB88" s="30"/>
      <c r="AC88" s="30"/>
      <c r="AD88" s="30"/>
      <c r="AE88" s="30"/>
    </row>
    <row r="89" spans="1:31" s="2" customFormat="1" ht="10.35" customHeight="1">
      <c r="A89" s="30"/>
      <c r="B89" s="31"/>
      <c r="C89" s="30"/>
      <c r="D89" s="30"/>
      <c r="E89" s="30"/>
      <c r="F89" s="30"/>
      <c r="G89" s="30"/>
      <c r="H89" s="30"/>
      <c r="I89" s="30"/>
      <c r="J89" s="30"/>
      <c r="K89" s="30"/>
      <c r="L89" s="88"/>
      <c r="S89" s="30"/>
      <c r="T89" s="30"/>
      <c r="U89" s="30"/>
      <c r="V89" s="30"/>
      <c r="W89" s="30"/>
      <c r="X89" s="30"/>
      <c r="Y89" s="30"/>
      <c r="Z89" s="30"/>
      <c r="AA89" s="30"/>
      <c r="AB89" s="30"/>
      <c r="AC89" s="30"/>
      <c r="AD89" s="30"/>
      <c r="AE89" s="30"/>
    </row>
    <row r="90" spans="1:31" s="11" customFormat="1" ht="29.25" customHeight="1">
      <c r="A90" s="113"/>
      <c r="B90" s="114"/>
      <c r="C90" s="115" t="s">
        <v>119</v>
      </c>
      <c r="D90" s="116" t="s">
        <v>57</v>
      </c>
      <c r="E90" s="116" t="s">
        <v>53</v>
      </c>
      <c r="F90" s="116" t="s">
        <v>54</v>
      </c>
      <c r="G90" s="116" t="s">
        <v>120</v>
      </c>
      <c r="H90" s="116" t="s">
        <v>121</v>
      </c>
      <c r="I90" s="116" t="s">
        <v>122</v>
      </c>
      <c r="J90" s="116" t="s">
        <v>103</v>
      </c>
      <c r="K90" s="117" t="s">
        <v>123</v>
      </c>
      <c r="L90" s="118"/>
      <c r="M90" s="55" t="s">
        <v>3</v>
      </c>
      <c r="N90" s="56" t="s">
        <v>42</v>
      </c>
      <c r="O90" s="56" t="s">
        <v>124</v>
      </c>
      <c r="P90" s="56" t="s">
        <v>125</v>
      </c>
      <c r="Q90" s="56" t="s">
        <v>126</v>
      </c>
      <c r="R90" s="56" t="s">
        <v>127</v>
      </c>
      <c r="S90" s="56" t="s">
        <v>128</v>
      </c>
      <c r="T90" s="57" t="s">
        <v>129</v>
      </c>
      <c r="U90" s="113"/>
      <c r="V90" s="113"/>
      <c r="W90" s="113"/>
      <c r="X90" s="113"/>
      <c r="Y90" s="113"/>
      <c r="Z90" s="113"/>
      <c r="AA90" s="113"/>
      <c r="AB90" s="113"/>
      <c r="AC90" s="113"/>
      <c r="AD90" s="113"/>
      <c r="AE90" s="113"/>
    </row>
    <row r="91" spans="1:63" s="2" customFormat="1" ht="22.9" customHeight="1">
      <c r="A91" s="30"/>
      <c r="B91" s="31"/>
      <c r="C91" s="62" t="s">
        <v>130</v>
      </c>
      <c r="D91" s="30"/>
      <c r="E91" s="30"/>
      <c r="F91" s="30"/>
      <c r="G91" s="30"/>
      <c r="H91" s="30"/>
      <c r="I91" s="30"/>
      <c r="J91" s="119">
        <f>J92+J167</f>
        <v>0</v>
      </c>
      <c r="K91" s="30"/>
      <c r="L91" s="31"/>
      <c r="M91" s="58"/>
      <c r="N91" s="49"/>
      <c r="O91" s="59"/>
      <c r="P91" s="120" t="e">
        <f>P92+P167</f>
        <v>#REF!</v>
      </c>
      <c r="Q91" s="59"/>
      <c r="R91" s="120" t="e">
        <f>R92+R167</f>
        <v>#REF!</v>
      </c>
      <c r="S91" s="59"/>
      <c r="T91" s="121" t="e">
        <f>T92+T167</f>
        <v>#REF!</v>
      </c>
      <c r="U91" s="30"/>
      <c r="V91" s="30"/>
      <c r="W91" s="30"/>
      <c r="X91" s="30"/>
      <c r="Y91" s="30"/>
      <c r="Z91" s="30"/>
      <c r="AA91" s="30"/>
      <c r="AB91" s="30"/>
      <c r="AC91" s="30"/>
      <c r="AD91" s="30"/>
      <c r="AE91" s="30"/>
      <c r="AT91" s="18" t="s">
        <v>71</v>
      </c>
      <c r="AU91" s="18" t="s">
        <v>104</v>
      </c>
      <c r="BK91" s="122" t="e">
        <f>BK92+BK167</f>
        <v>#REF!</v>
      </c>
    </row>
    <row r="92" spans="2:63" s="12" customFormat="1" ht="25.9" customHeight="1">
      <c r="B92" s="123"/>
      <c r="D92" s="124" t="s">
        <v>71</v>
      </c>
      <c r="E92" s="125" t="s">
        <v>131</v>
      </c>
      <c r="F92" s="125" t="s">
        <v>132</v>
      </c>
      <c r="J92" s="126">
        <f>J105+J119+J151+J164</f>
        <v>0</v>
      </c>
      <c r="L92" s="123"/>
      <c r="M92" s="127"/>
      <c r="N92" s="128"/>
      <c r="O92" s="128"/>
      <c r="P92" s="129" t="e">
        <f>#REF!+P105+P119+P151+P164</f>
        <v>#REF!</v>
      </c>
      <c r="Q92" s="128"/>
      <c r="R92" s="129" t="e">
        <f>#REF!+R105+R119+R151+R164</f>
        <v>#REF!</v>
      </c>
      <c r="S92" s="128"/>
      <c r="T92" s="130" t="e">
        <f>#REF!+T105+T119+T151+T164</f>
        <v>#REF!</v>
      </c>
      <c r="AR92" s="124" t="s">
        <v>80</v>
      </c>
      <c r="AT92" s="131" t="s">
        <v>71</v>
      </c>
      <c r="AU92" s="131" t="s">
        <v>72</v>
      </c>
      <c r="AY92" s="124" t="s">
        <v>133</v>
      </c>
      <c r="BK92" s="132" t="e">
        <f>#REF!+BK105+BK119+BK151+BK164</f>
        <v>#REF!</v>
      </c>
    </row>
    <row r="93" spans="2:63" s="310" customFormat="1" ht="22.9" customHeight="1">
      <c r="B93" s="123"/>
      <c r="D93" s="312" t="s">
        <v>71</v>
      </c>
      <c r="E93" s="313" t="s">
        <v>134</v>
      </c>
      <c r="F93" s="313" t="s">
        <v>135</v>
      </c>
      <c r="J93" s="314">
        <f>BK93</f>
        <v>0</v>
      </c>
      <c r="L93" s="123"/>
      <c r="M93" s="127"/>
      <c r="P93" s="311">
        <f>SUM(P94:P145)</f>
        <v>84.1233455</v>
      </c>
      <c r="R93" s="311">
        <f>SUM(R94:R145)</f>
        <v>1.5265342333599998</v>
      </c>
      <c r="T93" s="130">
        <f>SUM(T94:T145)</f>
        <v>4.3466528</v>
      </c>
      <c r="AR93" s="312" t="s">
        <v>80</v>
      </c>
      <c r="AT93" s="315" t="s">
        <v>71</v>
      </c>
      <c r="AU93" s="315" t="s">
        <v>80</v>
      </c>
      <c r="AY93" s="312" t="s">
        <v>133</v>
      </c>
      <c r="BK93" s="316">
        <f>SUM(BK94:BK145)</f>
        <v>0</v>
      </c>
    </row>
    <row r="94" spans="1:65" s="290" customFormat="1" ht="37.9" customHeight="1">
      <c r="A94" s="291"/>
      <c r="B94" s="135"/>
      <c r="C94" s="136">
        <v>1</v>
      </c>
      <c r="D94" s="136" t="s">
        <v>136</v>
      </c>
      <c r="E94" s="137" t="s">
        <v>954</v>
      </c>
      <c r="F94" s="138" t="s">
        <v>971</v>
      </c>
      <c r="G94" s="139" t="s">
        <v>140</v>
      </c>
      <c r="H94" s="140">
        <v>1</v>
      </c>
      <c r="I94" s="141"/>
      <c r="J94" s="141">
        <f>ROUND(I94*H94,2)</f>
        <v>0</v>
      </c>
      <c r="K94" s="138" t="s">
        <v>141</v>
      </c>
      <c r="L94" s="31"/>
      <c r="M94" s="142" t="s">
        <v>3</v>
      </c>
      <c r="N94" s="292" t="s">
        <v>43</v>
      </c>
      <c r="O94" s="293">
        <v>0.192</v>
      </c>
      <c r="P94" s="293">
        <f>O94*H94</f>
        <v>0.192</v>
      </c>
      <c r="Q94" s="293">
        <v>0.02628</v>
      </c>
      <c r="R94" s="293">
        <f>Q94*H94</f>
        <v>0.02628</v>
      </c>
      <c r="S94" s="293">
        <v>0</v>
      </c>
      <c r="T94" s="145">
        <f>S94*H94</f>
        <v>0</v>
      </c>
      <c r="U94" s="291"/>
      <c r="V94" s="291"/>
      <c r="W94" s="291"/>
      <c r="X94" s="291"/>
      <c r="Y94" s="291"/>
      <c r="Z94" s="291"/>
      <c r="AA94" s="291"/>
      <c r="AB94" s="291"/>
      <c r="AC94" s="291"/>
      <c r="AD94" s="291"/>
      <c r="AE94" s="291"/>
      <c r="AR94" s="294" t="s">
        <v>138</v>
      </c>
      <c r="AT94" s="294" t="s">
        <v>136</v>
      </c>
      <c r="AU94" s="294" t="s">
        <v>82</v>
      </c>
      <c r="AY94" s="295" t="s">
        <v>133</v>
      </c>
      <c r="BE94" s="296">
        <f>IF(N94="základní",J94,0)</f>
        <v>0</v>
      </c>
      <c r="BF94" s="296">
        <f>IF(N94="snížená",J94,0)</f>
        <v>0</v>
      </c>
      <c r="BG94" s="296">
        <f>IF(N94="zákl. přenesená",J94,0)</f>
        <v>0</v>
      </c>
      <c r="BH94" s="296">
        <f>IF(N94="sníž. přenesená",J94,0)</f>
        <v>0</v>
      </c>
      <c r="BI94" s="296">
        <f>IF(N94="nulová",J94,0)</f>
        <v>0</v>
      </c>
      <c r="BJ94" s="295" t="s">
        <v>80</v>
      </c>
      <c r="BK94" s="296">
        <f>ROUND(I94*H94,2)</f>
        <v>0</v>
      </c>
      <c r="BL94" s="295" t="s">
        <v>138</v>
      </c>
      <c r="BM94" s="294" t="s">
        <v>955</v>
      </c>
    </row>
    <row r="95" spans="1:47" s="290" customFormat="1" ht="39">
      <c r="A95" s="291"/>
      <c r="B95" s="31"/>
      <c r="C95" s="291"/>
      <c r="D95" s="297" t="s">
        <v>142</v>
      </c>
      <c r="E95" s="291"/>
      <c r="F95" s="299" t="s">
        <v>956</v>
      </c>
      <c r="G95" s="291"/>
      <c r="H95" s="291"/>
      <c r="I95" s="291"/>
      <c r="J95" s="291"/>
      <c r="K95" s="291"/>
      <c r="L95" s="31"/>
      <c r="M95" s="163"/>
      <c r="O95" s="291"/>
      <c r="P95" s="291"/>
      <c r="Q95" s="291"/>
      <c r="R95" s="291"/>
      <c r="S95" s="291"/>
      <c r="T95" s="52"/>
      <c r="U95" s="291"/>
      <c r="V95" s="291"/>
      <c r="W95" s="291"/>
      <c r="X95" s="291"/>
      <c r="Y95" s="291"/>
      <c r="Z95" s="291"/>
      <c r="AA95" s="291"/>
      <c r="AB95" s="291"/>
      <c r="AC95" s="291"/>
      <c r="AD95" s="291"/>
      <c r="AE95" s="291"/>
      <c r="AT95" s="295" t="s">
        <v>142</v>
      </c>
      <c r="AU95" s="295" t="s">
        <v>82</v>
      </c>
    </row>
    <row r="96" spans="1:65" s="290" customFormat="1" ht="24.2" customHeight="1">
      <c r="A96" s="291"/>
      <c r="B96" s="135"/>
      <c r="C96" s="136">
        <v>2</v>
      </c>
      <c r="D96" s="136" t="s">
        <v>136</v>
      </c>
      <c r="E96" s="137" t="s">
        <v>957</v>
      </c>
      <c r="F96" s="138" t="s">
        <v>958</v>
      </c>
      <c r="G96" s="139" t="s">
        <v>919</v>
      </c>
      <c r="H96" s="140">
        <f>H98</f>
        <v>0.019500000000000003</v>
      </c>
      <c r="I96" s="141"/>
      <c r="J96" s="141">
        <f>ROUND(I96*H96,2)</f>
        <v>0</v>
      </c>
      <c r="K96" s="138" t="s">
        <v>141</v>
      </c>
      <c r="L96" s="31"/>
      <c r="M96" s="142" t="s">
        <v>3</v>
      </c>
      <c r="N96" s="292" t="s">
        <v>43</v>
      </c>
      <c r="O96" s="293">
        <v>6.77</v>
      </c>
      <c r="P96" s="293">
        <f>O96*H96</f>
        <v>0.13201500000000002</v>
      </c>
      <c r="Q96" s="293">
        <v>1.94302</v>
      </c>
      <c r="R96" s="293">
        <f>Q96*H96</f>
        <v>0.03788889000000001</v>
      </c>
      <c r="S96" s="293">
        <v>0</v>
      </c>
      <c r="T96" s="145">
        <f>S96*H96</f>
        <v>0</v>
      </c>
      <c r="U96" s="291"/>
      <c r="V96" s="291"/>
      <c r="W96" s="291"/>
      <c r="X96" s="291"/>
      <c r="Y96" s="291"/>
      <c r="Z96" s="291"/>
      <c r="AA96" s="291"/>
      <c r="AB96" s="291"/>
      <c r="AC96" s="291"/>
      <c r="AD96" s="291"/>
      <c r="AE96" s="291"/>
      <c r="AR96" s="294" t="s">
        <v>138</v>
      </c>
      <c r="AT96" s="294" t="s">
        <v>136</v>
      </c>
      <c r="AU96" s="294" t="s">
        <v>82</v>
      </c>
      <c r="AY96" s="295" t="s">
        <v>133</v>
      </c>
      <c r="BE96" s="296">
        <f>IF(N96="základní",J96,0)</f>
        <v>0</v>
      </c>
      <c r="BF96" s="296">
        <f>IF(N96="snížená",J96,0)</f>
        <v>0</v>
      </c>
      <c r="BG96" s="296">
        <f>IF(N96="zákl. přenesená",J96,0)</f>
        <v>0</v>
      </c>
      <c r="BH96" s="296">
        <f>IF(N96="sníž. přenesená",J96,0)</f>
        <v>0</v>
      </c>
      <c r="BI96" s="296">
        <f>IF(N96="nulová",J96,0)</f>
        <v>0</v>
      </c>
      <c r="BJ96" s="295" t="s">
        <v>80</v>
      </c>
      <c r="BK96" s="296">
        <f>ROUND(I96*H96,2)</f>
        <v>0</v>
      </c>
      <c r="BL96" s="295" t="s">
        <v>138</v>
      </c>
      <c r="BM96" s="294" t="s">
        <v>959</v>
      </c>
    </row>
    <row r="97" spans="1:47" s="290" customFormat="1" ht="97.5">
      <c r="A97" s="291"/>
      <c r="B97" s="31"/>
      <c r="C97" s="291"/>
      <c r="D97" s="297" t="s">
        <v>142</v>
      </c>
      <c r="E97" s="291"/>
      <c r="F97" s="299" t="s">
        <v>960</v>
      </c>
      <c r="G97" s="291"/>
      <c r="H97" s="291"/>
      <c r="I97" s="291"/>
      <c r="J97" s="291"/>
      <c r="K97" s="291"/>
      <c r="L97" s="31"/>
      <c r="M97" s="163"/>
      <c r="O97" s="291"/>
      <c r="P97" s="291"/>
      <c r="Q97" s="291"/>
      <c r="R97" s="291"/>
      <c r="S97" s="291"/>
      <c r="T97" s="52"/>
      <c r="U97" s="291"/>
      <c r="V97" s="291"/>
      <c r="W97" s="291"/>
      <c r="X97" s="291"/>
      <c r="Y97" s="291"/>
      <c r="Z97" s="291"/>
      <c r="AA97" s="291"/>
      <c r="AB97" s="291"/>
      <c r="AC97" s="291"/>
      <c r="AD97" s="291"/>
      <c r="AE97" s="291"/>
      <c r="AT97" s="295" t="s">
        <v>142</v>
      </c>
      <c r="AU97" s="295" t="s">
        <v>82</v>
      </c>
    </row>
    <row r="98" spans="2:51" s="302" customFormat="1" ht="12">
      <c r="B98" s="155"/>
      <c r="D98" s="297" t="s">
        <v>139</v>
      </c>
      <c r="E98" s="305" t="s">
        <v>3</v>
      </c>
      <c r="F98" s="306" t="s">
        <v>972</v>
      </c>
      <c r="H98" s="307">
        <f>1*1.3*0.15*0.1</f>
        <v>0.019500000000000003</v>
      </c>
      <c r="L98" s="155"/>
      <c r="M98" s="159"/>
      <c r="T98" s="161"/>
      <c r="AT98" s="305" t="s">
        <v>139</v>
      </c>
      <c r="AU98" s="305" t="s">
        <v>82</v>
      </c>
      <c r="AV98" s="302" t="s">
        <v>82</v>
      </c>
      <c r="AW98" s="302" t="s">
        <v>34</v>
      </c>
      <c r="AX98" s="302" t="s">
        <v>72</v>
      </c>
      <c r="AY98" s="305" t="s">
        <v>133</v>
      </c>
    </row>
    <row r="99" spans="1:65" s="290" customFormat="1" ht="37.9" customHeight="1">
      <c r="A99" s="291"/>
      <c r="B99" s="135"/>
      <c r="C99" s="136">
        <v>3</v>
      </c>
      <c r="D99" s="136" t="s">
        <v>136</v>
      </c>
      <c r="E99" s="137" t="s">
        <v>961</v>
      </c>
      <c r="F99" s="138" t="s">
        <v>962</v>
      </c>
      <c r="G99" s="139" t="s">
        <v>144</v>
      </c>
      <c r="H99" s="140">
        <f>H101</f>
        <v>0.021684000000000002</v>
      </c>
      <c r="I99" s="141"/>
      <c r="J99" s="141">
        <f>ROUND(I99*H99,2)</f>
        <v>0</v>
      </c>
      <c r="K99" s="138" t="s">
        <v>141</v>
      </c>
      <c r="L99" s="31"/>
      <c r="M99" s="142" t="s">
        <v>3</v>
      </c>
      <c r="N99" s="292" t="s">
        <v>43</v>
      </c>
      <c r="O99" s="293">
        <v>18.175</v>
      </c>
      <c r="P99" s="293">
        <f>O99*H99</f>
        <v>0.39410670000000003</v>
      </c>
      <c r="Q99" s="293">
        <v>0.01954</v>
      </c>
      <c r="R99" s="293">
        <f>Q99*H99</f>
        <v>0.00042370536</v>
      </c>
      <c r="S99" s="293">
        <v>0</v>
      </c>
      <c r="T99" s="145">
        <f>S99*H99</f>
        <v>0</v>
      </c>
      <c r="U99" s="291"/>
      <c r="V99" s="291"/>
      <c r="W99" s="291"/>
      <c r="X99" s="291"/>
      <c r="Y99" s="291"/>
      <c r="Z99" s="291"/>
      <c r="AA99" s="291"/>
      <c r="AB99" s="291"/>
      <c r="AC99" s="291"/>
      <c r="AD99" s="291"/>
      <c r="AE99" s="291"/>
      <c r="AR99" s="294" t="s">
        <v>138</v>
      </c>
      <c r="AT99" s="294" t="s">
        <v>136</v>
      </c>
      <c r="AU99" s="294" t="s">
        <v>82</v>
      </c>
      <c r="AY99" s="295" t="s">
        <v>133</v>
      </c>
      <c r="BE99" s="296">
        <f>IF(N99="základní",J99,0)</f>
        <v>0</v>
      </c>
      <c r="BF99" s="296">
        <f>IF(N99="snížená",J99,0)</f>
        <v>0</v>
      </c>
      <c r="BG99" s="296">
        <f>IF(N99="zákl. přenesená",J99,0)</f>
        <v>0</v>
      </c>
      <c r="BH99" s="296">
        <f>IF(N99="sníž. přenesená",J99,0)</f>
        <v>0</v>
      </c>
      <c r="BI99" s="296">
        <f>IF(N99="nulová",J99,0)</f>
        <v>0</v>
      </c>
      <c r="BJ99" s="295" t="s">
        <v>80</v>
      </c>
      <c r="BK99" s="296">
        <f>ROUND(I99*H99,2)</f>
        <v>0</v>
      </c>
      <c r="BL99" s="295" t="s">
        <v>138</v>
      </c>
      <c r="BM99" s="294" t="s">
        <v>963</v>
      </c>
    </row>
    <row r="100" spans="1:47" s="290" customFormat="1" ht="78">
      <c r="A100" s="291"/>
      <c r="B100" s="31"/>
      <c r="C100" s="291"/>
      <c r="D100" s="297" t="s">
        <v>142</v>
      </c>
      <c r="E100" s="291"/>
      <c r="F100" s="299" t="s">
        <v>964</v>
      </c>
      <c r="G100" s="291"/>
      <c r="H100" s="291"/>
      <c r="I100" s="291"/>
      <c r="J100" s="291"/>
      <c r="K100" s="291"/>
      <c r="L100" s="31"/>
      <c r="M100" s="163"/>
      <c r="O100" s="291"/>
      <c r="P100" s="291"/>
      <c r="Q100" s="291"/>
      <c r="R100" s="291"/>
      <c r="S100" s="291"/>
      <c r="T100" s="52"/>
      <c r="U100" s="291"/>
      <c r="V100" s="291"/>
      <c r="W100" s="291"/>
      <c r="X100" s="291"/>
      <c r="Y100" s="291"/>
      <c r="Z100" s="291"/>
      <c r="AA100" s="291"/>
      <c r="AB100" s="291"/>
      <c r="AC100" s="291"/>
      <c r="AD100" s="291"/>
      <c r="AE100" s="291"/>
      <c r="AT100" s="295" t="s">
        <v>142</v>
      </c>
      <c r="AU100" s="295" t="s">
        <v>82</v>
      </c>
    </row>
    <row r="101" spans="2:51" s="302" customFormat="1" ht="12">
      <c r="B101" s="155"/>
      <c r="D101" s="297" t="s">
        <v>139</v>
      </c>
      <c r="E101" s="305" t="s">
        <v>3</v>
      </c>
      <c r="F101" s="306" t="s">
        <v>973</v>
      </c>
      <c r="H101" s="307">
        <f>1*(2*1.3)*8.34/1000</f>
        <v>0.021684000000000002</v>
      </c>
      <c r="L101" s="155"/>
      <c r="M101" s="159"/>
      <c r="T101" s="161"/>
      <c r="AT101" s="305" t="s">
        <v>139</v>
      </c>
      <c r="AU101" s="305" t="s">
        <v>82</v>
      </c>
      <c r="AV101" s="302" t="s">
        <v>82</v>
      </c>
      <c r="AW101" s="302" t="s">
        <v>34</v>
      </c>
      <c r="AX101" s="302" t="s">
        <v>72</v>
      </c>
      <c r="AY101" s="305" t="s">
        <v>133</v>
      </c>
    </row>
    <row r="102" spans="1:65" s="290" customFormat="1" ht="14.45" customHeight="1">
      <c r="A102" s="291"/>
      <c r="B102" s="135"/>
      <c r="C102" s="172">
        <v>4</v>
      </c>
      <c r="D102" s="172" t="s">
        <v>146</v>
      </c>
      <c r="E102" s="173" t="s">
        <v>965</v>
      </c>
      <c r="F102" s="174" t="s">
        <v>966</v>
      </c>
      <c r="G102" s="175" t="s">
        <v>144</v>
      </c>
      <c r="H102" s="176">
        <f>H99</f>
        <v>0.021684000000000002</v>
      </c>
      <c r="I102" s="177"/>
      <c r="J102" s="177">
        <f>ROUND(I102*H102,2)</f>
        <v>0</v>
      </c>
      <c r="K102" s="174" t="s">
        <v>141</v>
      </c>
      <c r="L102" s="178"/>
      <c r="M102" s="179" t="s">
        <v>3</v>
      </c>
      <c r="N102" s="298" t="s">
        <v>43</v>
      </c>
      <c r="O102" s="293">
        <v>0</v>
      </c>
      <c r="P102" s="293">
        <f>O102*H102</f>
        <v>0</v>
      </c>
      <c r="Q102" s="293">
        <v>1</v>
      </c>
      <c r="R102" s="293">
        <f>Q102*H102</f>
        <v>0.021684000000000002</v>
      </c>
      <c r="S102" s="293">
        <v>0</v>
      </c>
      <c r="T102" s="145">
        <f>S102*H102</f>
        <v>0</v>
      </c>
      <c r="U102" s="291"/>
      <c r="V102" s="291"/>
      <c r="W102" s="291"/>
      <c r="X102" s="291"/>
      <c r="Y102" s="291"/>
      <c r="Z102" s="291"/>
      <c r="AA102" s="291"/>
      <c r="AB102" s="291"/>
      <c r="AC102" s="291"/>
      <c r="AD102" s="291"/>
      <c r="AE102" s="291"/>
      <c r="AR102" s="294" t="s">
        <v>147</v>
      </c>
      <c r="AT102" s="294" t="s">
        <v>146</v>
      </c>
      <c r="AU102" s="294" t="s">
        <v>82</v>
      </c>
      <c r="AY102" s="295" t="s">
        <v>133</v>
      </c>
      <c r="BE102" s="296">
        <f>IF(N102="základní",J102,0)</f>
        <v>0</v>
      </c>
      <c r="BF102" s="296">
        <f>IF(N102="snížená",J102,0)</f>
        <v>0</v>
      </c>
      <c r="BG102" s="296">
        <f>IF(N102="zákl. přenesená",J102,0)</f>
        <v>0</v>
      </c>
      <c r="BH102" s="296">
        <f>IF(N102="sníž. přenesená",J102,0)</f>
        <v>0</v>
      </c>
      <c r="BI102" s="296">
        <f>IF(N102="nulová",J102,0)</f>
        <v>0</v>
      </c>
      <c r="BJ102" s="295" t="s">
        <v>80</v>
      </c>
      <c r="BK102" s="296">
        <f>ROUND(I102*H102,2)</f>
        <v>0</v>
      </c>
      <c r="BL102" s="295" t="s">
        <v>138</v>
      </c>
      <c r="BM102" s="294" t="s">
        <v>967</v>
      </c>
    </row>
    <row r="103" spans="1:65" s="290" customFormat="1" ht="49.15" customHeight="1">
      <c r="A103" s="291"/>
      <c r="B103" s="135"/>
      <c r="C103" s="136">
        <v>5</v>
      </c>
      <c r="D103" s="136" t="s">
        <v>136</v>
      </c>
      <c r="E103" s="137" t="s">
        <v>968</v>
      </c>
      <c r="F103" s="138" t="s">
        <v>969</v>
      </c>
      <c r="G103" s="139" t="s">
        <v>149</v>
      </c>
      <c r="H103" s="140">
        <f>H104</f>
        <v>1.5677999999999999</v>
      </c>
      <c r="I103" s="141"/>
      <c r="J103" s="141">
        <f>ROUND(I103*H103,2)</f>
        <v>0</v>
      </c>
      <c r="K103" s="138" t="s">
        <v>141</v>
      </c>
      <c r="L103" s="31"/>
      <c r="M103" s="142" t="s">
        <v>3</v>
      </c>
      <c r="N103" s="292" t="s">
        <v>43</v>
      </c>
      <c r="O103" s="293">
        <v>0.607</v>
      </c>
      <c r="P103" s="293">
        <f>O103*H103</f>
        <v>0.9516545999999999</v>
      </c>
      <c r="Q103" s="293">
        <v>0.07921</v>
      </c>
      <c r="R103" s="293">
        <f>Q103*H103</f>
        <v>0.124185438</v>
      </c>
      <c r="S103" s="293">
        <v>0</v>
      </c>
      <c r="T103" s="145">
        <f>S103*H103</f>
        <v>0</v>
      </c>
      <c r="U103" s="291"/>
      <c r="V103" s="291"/>
      <c r="W103" s="291"/>
      <c r="X103" s="291"/>
      <c r="Y103" s="291"/>
      <c r="Z103" s="291"/>
      <c r="AA103" s="291"/>
      <c r="AB103" s="291"/>
      <c r="AC103" s="291"/>
      <c r="AD103" s="291"/>
      <c r="AE103" s="291"/>
      <c r="AR103" s="294" t="s">
        <v>138</v>
      </c>
      <c r="AT103" s="294" t="s">
        <v>136</v>
      </c>
      <c r="AU103" s="294" t="s">
        <v>82</v>
      </c>
      <c r="AY103" s="295" t="s">
        <v>133</v>
      </c>
      <c r="BE103" s="296">
        <f>IF(N103="základní",J103,0)</f>
        <v>0</v>
      </c>
      <c r="BF103" s="296">
        <f>IF(N103="snížená",J103,0)</f>
        <v>0</v>
      </c>
      <c r="BG103" s="296">
        <f>IF(N103="zákl. přenesená",J103,0)</f>
        <v>0</v>
      </c>
      <c r="BH103" s="296">
        <f>IF(N103="sníž. přenesená",J103,0)</f>
        <v>0</v>
      </c>
      <c r="BI103" s="296">
        <f>IF(N103="nulová",J103,0)</f>
        <v>0</v>
      </c>
      <c r="BJ103" s="295" t="s">
        <v>80</v>
      </c>
      <c r="BK103" s="296">
        <f>ROUND(I103*H103,2)</f>
        <v>0</v>
      </c>
      <c r="BL103" s="295" t="s">
        <v>138</v>
      </c>
      <c r="BM103" s="294" t="s">
        <v>970</v>
      </c>
    </row>
    <row r="104" spans="2:51" s="302" customFormat="1" ht="12">
      <c r="B104" s="155"/>
      <c r="D104" s="297" t="s">
        <v>139</v>
      </c>
      <c r="E104" s="305" t="s">
        <v>3</v>
      </c>
      <c r="F104" s="306" t="s">
        <v>974</v>
      </c>
      <c r="H104" s="307">
        <f>0.78*2.01</f>
        <v>1.5677999999999999</v>
      </c>
      <c r="L104" s="155"/>
      <c r="M104" s="159"/>
      <c r="T104" s="161"/>
      <c r="AT104" s="305" t="s">
        <v>139</v>
      </c>
      <c r="AU104" s="305" t="s">
        <v>82</v>
      </c>
      <c r="AV104" s="302" t="s">
        <v>82</v>
      </c>
      <c r="AW104" s="302" t="s">
        <v>34</v>
      </c>
      <c r="AX104" s="302" t="s">
        <v>80</v>
      </c>
      <c r="AY104" s="305" t="s">
        <v>133</v>
      </c>
    </row>
    <row r="105" spans="2:63" s="12" customFormat="1" ht="22.9" customHeight="1">
      <c r="B105" s="123"/>
      <c r="D105" s="124" t="s">
        <v>71</v>
      </c>
      <c r="E105" s="133" t="s">
        <v>148</v>
      </c>
      <c r="F105" s="133" t="s">
        <v>153</v>
      </c>
      <c r="J105" s="134">
        <f>SUM(J106:J118)</f>
        <v>0</v>
      </c>
      <c r="L105" s="123"/>
      <c r="M105" s="127"/>
      <c r="N105" s="128"/>
      <c r="O105" s="128"/>
      <c r="P105" s="129">
        <f>SUM(P106:P118)</f>
        <v>27.994749999999996</v>
      </c>
      <c r="Q105" s="128"/>
      <c r="R105" s="129">
        <f>SUM(R106:R118)</f>
        <v>0.6512540000000001</v>
      </c>
      <c r="S105" s="128"/>
      <c r="T105" s="130">
        <f>SUM(T106:T118)</f>
        <v>0</v>
      </c>
      <c r="AR105" s="124" t="s">
        <v>80</v>
      </c>
      <c r="AT105" s="131" t="s">
        <v>71</v>
      </c>
      <c r="AU105" s="131" t="s">
        <v>80</v>
      </c>
      <c r="AY105" s="124" t="s">
        <v>133</v>
      </c>
      <c r="BK105" s="132">
        <f>SUM(BK106:BK118)</f>
        <v>0</v>
      </c>
    </row>
    <row r="106" spans="1:65" s="2" customFormat="1" ht="24.2" customHeight="1">
      <c r="A106" s="30"/>
      <c r="B106" s="135"/>
      <c r="C106" s="136">
        <v>6</v>
      </c>
      <c r="D106" s="136" t="s">
        <v>136</v>
      </c>
      <c r="E106" s="137" t="s">
        <v>156</v>
      </c>
      <c r="F106" s="138" t="s">
        <v>157</v>
      </c>
      <c r="G106" s="139" t="s">
        <v>149</v>
      </c>
      <c r="H106" s="140">
        <f>H113</f>
        <v>52.17</v>
      </c>
      <c r="I106" s="141"/>
      <c r="J106" s="141">
        <f>ROUND(I106*H106,2)</f>
        <v>0</v>
      </c>
      <c r="K106" s="138" t="s">
        <v>141</v>
      </c>
      <c r="L106" s="31"/>
      <c r="M106" s="142" t="s">
        <v>3</v>
      </c>
      <c r="N106" s="143" t="s">
        <v>43</v>
      </c>
      <c r="O106" s="144">
        <v>0.25</v>
      </c>
      <c r="P106" s="144">
        <f>O106*H106</f>
        <v>13.0425</v>
      </c>
      <c r="Q106" s="144">
        <v>0.0102</v>
      </c>
      <c r="R106" s="144">
        <f>Q106*H106</f>
        <v>0.5321340000000001</v>
      </c>
      <c r="S106" s="144">
        <v>0</v>
      </c>
      <c r="T106" s="145">
        <f>S106*H106</f>
        <v>0</v>
      </c>
      <c r="U106" s="30"/>
      <c r="V106" s="30"/>
      <c r="W106" s="30"/>
      <c r="X106" s="30"/>
      <c r="Y106" s="30"/>
      <c r="Z106" s="30"/>
      <c r="AA106" s="30"/>
      <c r="AB106" s="30"/>
      <c r="AC106" s="30"/>
      <c r="AD106" s="30"/>
      <c r="AE106" s="30"/>
      <c r="AR106" s="146" t="s">
        <v>138</v>
      </c>
      <c r="AT106" s="146" t="s">
        <v>136</v>
      </c>
      <c r="AU106" s="146" t="s">
        <v>82</v>
      </c>
      <c r="AY106" s="18" t="s">
        <v>133</v>
      </c>
      <c r="BE106" s="147">
        <f>IF(N106="základní",J106,0)</f>
        <v>0</v>
      </c>
      <c r="BF106" s="147">
        <f>IF(N106="snížená",J106,0)</f>
        <v>0</v>
      </c>
      <c r="BG106" s="147">
        <f>IF(N106="zákl. přenesená",J106,0)</f>
        <v>0</v>
      </c>
      <c r="BH106" s="147">
        <f>IF(N106="sníž. přenesená",J106,0)</f>
        <v>0</v>
      </c>
      <c r="BI106" s="147">
        <f>IF(N106="nulová",J106,0)</f>
        <v>0</v>
      </c>
      <c r="BJ106" s="18" t="s">
        <v>80</v>
      </c>
      <c r="BK106" s="147">
        <f>ROUND(I106*H106,2)</f>
        <v>0</v>
      </c>
      <c r="BL106" s="18" t="s">
        <v>138</v>
      </c>
      <c r="BM106" s="146" t="s">
        <v>158</v>
      </c>
    </row>
    <row r="107" spans="2:51" s="13" customFormat="1" ht="12">
      <c r="B107" s="148"/>
      <c r="D107" s="149" t="s">
        <v>139</v>
      </c>
      <c r="E107" s="150" t="s">
        <v>3</v>
      </c>
      <c r="F107" s="151">
        <v>101</v>
      </c>
      <c r="H107" s="150" t="s">
        <v>3</v>
      </c>
      <c r="L107" s="148"/>
      <c r="M107" s="152"/>
      <c r="N107" s="153"/>
      <c r="O107" s="153"/>
      <c r="P107" s="153"/>
      <c r="Q107" s="153"/>
      <c r="R107" s="153"/>
      <c r="S107" s="153"/>
      <c r="T107" s="154"/>
      <c r="AT107" s="150" t="s">
        <v>139</v>
      </c>
      <c r="AU107" s="150" t="s">
        <v>82</v>
      </c>
      <c r="AV107" s="13" t="s">
        <v>80</v>
      </c>
      <c r="AW107" s="13" t="s">
        <v>34</v>
      </c>
      <c r="AX107" s="13" t="s">
        <v>72</v>
      </c>
      <c r="AY107" s="150" t="s">
        <v>133</v>
      </c>
    </row>
    <row r="108" spans="2:51" s="14" customFormat="1" ht="12">
      <c r="B108" s="155"/>
      <c r="D108" s="149" t="s">
        <v>139</v>
      </c>
      <c r="E108" s="156" t="s">
        <v>3</v>
      </c>
      <c r="F108" s="157">
        <v>13.76</v>
      </c>
      <c r="H108" s="158">
        <f>F108</f>
        <v>13.76</v>
      </c>
      <c r="L108" s="155"/>
      <c r="M108" s="159"/>
      <c r="N108" s="160"/>
      <c r="O108" s="160"/>
      <c r="P108" s="160"/>
      <c r="Q108" s="160"/>
      <c r="R108" s="160"/>
      <c r="S108" s="160"/>
      <c r="T108" s="161"/>
      <c r="AT108" s="156" t="s">
        <v>139</v>
      </c>
      <c r="AU108" s="156" t="s">
        <v>82</v>
      </c>
      <c r="AV108" s="14" t="s">
        <v>82</v>
      </c>
      <c r="AW108" s="14" t="s">
        <v>34</v>
      </c>
      <c r="AX108" s="14" t="s">
        <v>72</v>
      </c>
      <c r="AY108" s="156" t="s">
        <v>133</v>
      </c>
    </row>
    <row r="109" spans="2:51" s="13" customFormat="1" ht="12">
      <c r="B109" s="148"/>
      <c r="D109" s="149" t="s">
        <v>139</v>
      </c>
      <c r="E109" s="150" t="s">
        <v>3</v>
      </c>
      <c r="F109" s="151">
        <v>102</v>
      </c>
      <c r="H109" s="150" t="s">
        <v>3</v>
      </c>
      <c r="L109" s="148"/>
      <c r="M109" s="152"/>
      <c r="N109" s="153"/>
      <c r="O109" s="153"/>
      <c r="P109" s="153"/>
      <c r="Q109" s="153"/>
      <c r="R109" s="153"/>
      <c r="S109" s="153"/>
      <c r="T109" s="154"/>
      <c r="AT109" s="150" t="s">
        <v>139</v>
      </c>
      <c r="AU109" s="150" t="s">
        <v>82</v>
      </c>
      <c r="AV109" s="13" t="s">
        <v>80</v>
      </c>
      <c r="AW109" s="13" t="s">
        <v>34</v>
      </c>
      <c r="AX109" s="13" t="s">
        <v>72</v>
      </c>
      <c r="AY109" s="150" t="s">
        <v>133</v>
      </c>
    </row>
    <row r="110" spans="2:51" s="14" customFormat="1" ht="12">
      <c r="B110" s="155"/>
      <c r="D110" s="149" t="s">
        <v>139</v>
      </c>
      <c r="E110" s="156" t="s">
        <v>3</v>
      </c>
      <c r="F110" s="157">
        <v>17.47</v>
      </c>
      <c r="H110" s="158">
        <f>F110</f>
        <v>17.47</v>
      </c>
      <c r="L110" s="155"/>
      <c r="M110" s="159"/>
      <c r="N110" s="160"/>
      <c r="O110" s="160"/>
      <c r="P110" s="160"/>
      <c r="Q110" s="160"/>
      <c r="R110" s="160"/>
      <c r="S110" s="160"/>
      <c r="T110" s="161"/>
      <c r="AT110" s="156" t="s">
        <v>139</v>
      </c>
      <c r="AU110" s="156" t="s">
        <v>82</v>
      </c>
      <c r="AV110" s="14" t="s">
        <v>82</v>
      </c>
      <c r="AW110" s="14" t="s">
        <v>34</v>
      </c>
      <c r="AX110" s="14" t="s">
        <v>72</v>
      </c>
      <c r="AY110" s="156" t="s">
        <v>133</v>
      </c>
    </row>
    <row r="111" spans="2:51" s="13" customFormat="1" ht="12">
      <c r="B111" s="148"/>
      <c r="D111" s="149" t="s">
        <v>139</v>
      </c>
      <c r="E111" s="150" t="s">
        <v>3</v>
      </c>
      <c r="F111" s="151">
        <v>103</v>
      </c>
      <c r="H111" s="150" t="s">
        <v>3</v>
      </c>
      <c r="L111" s="148"/>
      <c r="M111" s="152"/>
      <c r="N111" s="153"/>
      <c r="O111" s="153"/>
      <c r="P111" s="153"/>
      <c r="Q111" s="153"/>
      <c r="R111" s="153"/>
      <c r="S111" s="153"/>
      <c r="T111" s="154"/>
      <c r="AT111" s="150" t="s">
        <v>139</v>
      </c>
      <c r="AU111" s="150" t="s">
        <v>82</v>
      </c>
      <c r="AV111" s="13" t="s">
        <v>80</v>
      </c>
      <c r="AW111" s="13" t="s">
        <v>34</v>
      </c>
      <c r="AX111" s="13" t="s">
        <v>72</v>
      </c>
      <c r="AY111" s="150" t="s">
        <v>133</v>
      </c>
    </row>
    <row r="112" spans="2:51" s="14" customFormat="1" ht="12">
      <c r="B112" s="155"/>
      <c r="D112" s="149" t="s">
        <v>139</v>
      </c>
      <c r="E112" s="156" t="s">
        <v>3</v>
      </c>
      <c r="F112" s="157">
        <v>20.94</v>
      </c>
      <c r="H112" s="158">
        <f>F112</f>
        <v>20.94</v>
      </c>
      <c r="L112" s="155"/>
      <c r="M112" s="159"/>
      <c r="N112" s="160"/>
      <c r="O112" s="160"/>
      <c r="P112" s="160"/>
      <c r="Q112" s="160"/>
      <c r="R112" s="160"/>
      <c r="S112" s="160"/>
      <c r="T112" s="161"/>
      <c r="AT112" s="156" t="s">
        <v>139</v>
      </c>
      <c r="AU112" s="156" t="s">
        <v>82</v>
      </c>
      <c r="AV112" s="14" t="s">
        <v>82</v>
      </c>
      <c r="AW112" s="14" t="s">
        <v>34</v>
      </c>
      <c r="AX112" s="14" t="s">
        <v>72</v>
      </c>
      <c r="AY112" s="156" t="s">
        <v>133</v>
      </c>
    </row>
    <row r="113" spans="2:51" s="15" customFormat="1" ht="12">
      <c r="B113" s="165"/>
      <c r="D113" s="149" t="s">
        <v>139</v>
      </c>
      <c r="E113" s="166" t="s">
        <v>3</v>
      </c>
      <c r="F113" s="167" t="s">
        <v>143</v>
      </c>
      <c r="H113" s="168">
        <f>H108+H110+H112</f>
        <v>52.17</v>
      </c>
      <c r="L113" s="165"/>
      <c r="M113" s="169"/>
      <c r="N113" s="170"/>
      <c r="O113" s="170"/>
      <c r="P113" s="170"/>
      <c r="Q113" s="170"/>
      <c r="R113" s="170"/>
      <c r="S113" s="170"/>
      <c r="T113" s="171"/>
      <c r="AT113" s="166" t="s">
        <v>139</v>
      </c>
      <c r="AU113" s="166" t="s">
        <v>82</v>
      </c>
      <c r="AV113" s="15" t="s">
        <v>138</v>
      </c>
      <c r="AW113" s="15" t="s">
        <v>34</v>
      </c>
      <c r="AX113" s="15" t="s">
        <v>80</v>
      </c>
      <c r="AY113" s="166" t="s">
        <v>133</v>
      </c>
    </row>
    <row r="114" spans="1:65" s="2" customFormat="1" ht="24.2" customHeight="1">
      <c r="A114" s="30"/>
      <c r="B114" s="135"/>
      <c r="C114" s="136">
        <v>7</v>
      </c>
      <c r="D114" s="136" t="s">
        <v>136</v>
      </c>
      <c r="E114" s="137" t="s">
        <v>159</v>
      </c>
      <c r="F114" s="138" t="s">
        <v>160</v>
      </c>
      <c r="G114" s="139" t="s">
        <v>149</v>
      </c>
      <c r="H114" s="140">
        <f>H106</f>
        <v>52.17</v>
      </c>
      <c r="I114" s="141"/>
      <c r="J114" s="141">
        <f>ROUND(I114*H114,2)</f>
        <v>0</v>
      </c>
      <c r="K114" s="138" t="s">
        <v>141</v>
      </c>
      <c r="L114" s="31"/>
      <c r="M114" s="142" t="s">
        <v>3</v>
      </c>
      <c r="N114" s="143" t="s">
        <v>43</v>
      </c>
      <c r="O114" s="144">
        <v>0.127</v>
      </c>
      <c r="P114" s="144">
        <f>O114*H114</f>
        <v>6.62559</v>
      </c>
      <c r="Q114" s="144">
        <v>0</v>
      </c>
      <c r="R114" s="144">
        <f>Q114*H114</f>
        <v>0</v>
      </c>
      <c r="S114" s="144">
        <v>0</v>
      </c>
      <c r="T114" s="145">
        <f>S114*H114</f>
        <v>0</v>
      </c>
      <c r="U114" s="30"/>
      <c r="V114" s="30"/>
      <c r="W114" s="30"/>
      <c r="X114" s="30"/>
      <c r="Y114" s="30"/>
      <c r="Z114" s="30"/>
      <c r="AA114" s="30"/>
      <c r="AB114" s="30"/>
      <c r="AC114" s="30"/>
      <c r="AD114" s="30"/>
      <c r="AE114" s="30"/>
      <c r="AR114" s="146" t="s">
        <v>138</v>
      </c>
      <c r="AT114" s="146" t="s">
        <v>136</v>
      </c>
      <c r="AU114" s="146" t="s">
        <v>82</v>
      </c>
      <c r="AY114" s="18" t="s">
        <v>133</v>
      </c>
      <c r="BE114" s="147">
        <f>IF(N114="základní",J114,0)</f>
        <v>0</v>
      </c>
      <c r="BF114" s="147">
        <f>IF(N114="snížená",J114,0)</f>
        <v>0</v>
      </c>
      <c r="BG114" s="147">
        <f>IF(N114="zákl. přenesená",J114,0)</f>
        <v>0</v>
      </c>
      <c r="BH114" s="147">
        <f>IF(N114="sníž. přenesená",J114,0)</f>
        <v>0</v>
      </c>
      <c r="BI114" s="147">
        <f>IF(N114="nulová",J114,0)</f>
        <v>0</v>
      </c>
      <c r="BJ114" s="18" t="s">
        <v>80</v>
      </c>
      <c r="BK114" s="147">
        <f>ROUND(I114*H114,2)</f>
        <v>0</v>
      </c>
      <c r="BL114" s="18" t="s">
        <v>138</v>
      </c>
      <c r="BM114" s="146" t="s">
        <v>161</v>
      </c>
    </row>
    <row r="115" spans="1:65" s="2" customFormat="1" ht="24.2" customHeight="1">
      <c r="A115" s="30"/>
      <c r="B115" s="135"/>
      <c r="C115" s="136">
        <v>8</v>
      </c>
      <c r="D115" s="136" t="s">
        <v>136</v>
      </c>
      <c r="E115" s="137" t="s">
        <v>163</v>
      </c>
      <c r="F115" s="138" t="s">
        <v>164</v>
      </c>
      <c r="G115" s="139" t="s">
        <v>149</v>
      </c>
      <c r="H115" s="140">
        <f>H106</f>
        <v>52.17</v>
      </c>
      <c r="I115" s="141"/>
      <c r="J115" s="141">
        <f>ROUND(I115*H115,2)</f>
        <v>0</v>
      </c>
      <c r="K115" s="138" t="s">
        <v>141</v>
      </c>
      <c r="L115" s="31"/>
      <c r="M115" s="142" t="s">
        <v>3</v>
      </c>
      <c r="N115" s="143" t="s">
        <v>43</v>
      </c>
      <c r="O115" s="144">
        <v>0.098</v>
      </c>
      <c r="P115" s="144">
        <f>O115*H115</f>
        <v>5.11266</v>
      </c>
      <c r="Q115" s="144">
        <v>0</v>
      </c>
      <c r="R115" s="144">
        <f>Q115*H115</f>
        <v>0</v>
      </c>
      <c r="S115" s="144">
        <v>0</v>
      </c>
      <c r="T115" s="145">
        <f>S115*H115</f>
        <v>0</v>
      </c>
      <c r="U115" s="30"/>
      <c r="V115" s="30"/>
      <c r="W115" s="30"/>
      <c r="X115" s="30"/>
      <c r="Y115" s="30"/>
      <c r="Z115" s="30"/>
      <c r="AA115" s="30"/>
      <c r="AB115" s="30"/>
      <c r="AC115" s="30"/>
      <c r="AD115" s="30"/>
      <c r="AE115" s="30"/>
      <c r="AR115" s="146" t="s">
        <v>138</v>
      </c>
      <c r="AT115" s="146" t="s">
        <v>136</v>
      </c>
      <c r="AU115" s="146" t="s">
        <v>82</v>
      </c>
      <c r="AY115" s="18" t="s">
        <v>133</v>
      </c>
      <c r="BE115" s="147">
        <f>IF(N115="základní",J115,0)</f>
        <v>0</v>
      </c>
      <c r="BF115" s="147">
        <f>IF(N115="snížená",J115,0)</f>
        <v>0</v>
      </c>
      <c r="BG115" s="147">
        <f>IF(N115="zákl. přenesená",J115,0)</f>
        <v>0</v>
      </c>
      <c r="BH115" s="147">
        <f>IF(N115="sníž. přenesená",J115,0)</f>
        <v>0</v>
      </c>
      <c r="BI115" s="147">
        <f>IF(N115="nulová",J115,0)</f>
        <v>0</v>
      </c>
      <c r="BJ115" s="18" t="s">
        <v>80</v>
      </c>
      <c r="BK115" s="147">
        <f>ROUND(I115*H115,2)</f>
        <v>0</v>
      </c>
      <c r="BL115" s="18" t="s">
        <v>138</v>
      </c>
      <c r="BM115" s="146" t="s">
        <v>165</v>
      </c>
    </row>
    <row r="116" spans="1:65" s="2" customFormat="1" ht="37.9" customHeight="1">
      <c r="A116" s="30"/>
      <c r="B116" s="135"/>
      <c r="C116" s="136">
        <v>9</v>
      </c>
      <c r="D116" s="136" t="s">
        <v>136</v>
      </c>
      <c r="E116" s="137" t="s">
        <v>166</v>
      </c>
      <c r="F116" s="138" t="s">
        <v>167</v>
      </c>
      <c r="G116" s="139" t="s">
        <v>140</v>
      </c>
      <c r="H116" s="140">
        <v>2</v>
      </c>
      <c r="I116" s="141"/>
      <c r="J116" s="141">
        <f>ROUND(I116*H116,2)</f>
        <v>0</v>
      </c>
      <c r="K116" s="138" t="s">
        <v>141</v>
      </c>
      <c r="L116" s="31"/>
      <c r="M116" s="142" t="s">
        <v>3</v>
      </c>
      <c r="N116" s="143" t="s">
        <v>43</v>
      </c>
      <c r="O116" s="144">
        <v>1.607</v>
      </c>
      <c r="P116" s="144">
        <f>O116*H116</f>
        <v>3.214</v>
      </c>
      <c r="Q116" s="144">
        <v>0.04684</v>
      </c>
      <c r="R116" s="144">
        <f>Q116*H116</f>
        <v>0.09368</v>
      </c>
      <c r="S116" s="144">
        <v>0</v>
      </c>
      <c r="T116" s="145">
        <f>S116*H116</f>
        <v>0</v>
      </c>
      <c r="U116" s="30"/>
      <c r="V116" s="30"/>
      <c r="W116" s="30"/>
      <c r="X116" s="30"/>
      <c r="Y116" s="30"/>
      <c r="Z116" s="30"/>
      <c r="AA116" s="30"/>
      <c r="AB116" s="30"/>
      <c r="AC116" s="30"/>
      <c r="AD116" s="30"/>
      <c r="AE116" s="30"/>
      <c r="AR116" s="146" t="s">
        <v>138</v>
      </c>
      <c r="AT116" s="146" t="s">
        <v>136</v>
      </c>
      <c r="AU116" s="146" t="s">
        <v>82</v>
      </c>
      <c r="AY116" s="18" t="s">
        <v>133</v>
      </c>
      <c r="BE116" s="147">
        <f>IF(N116="základní",J116,0)</f>
        <v>0</v>
      </c>
      <c r="BF116" s="147">
        <f>IF(N116="snížená",J116,0)</f>
        <v>0</v>
      </c>
      <c r="BG116" s="147">
        <f>IF(N116="zákl. přenesená",J116,0)</f>
        <v>0</v>
      </c>
      <c r="BH116" s="147">
        <f>IF(N116="sníž. přenesená",J116,0)</f>
        <v>0</v>
      </c>
      <c r="BI116" s="147">
        <f>IF(N116="nulová",J116,0)</f>
        <v>0</v>
      </c>
      <c r="BJ116" s="18" t="s">
        <v>80</v>
      </c>
      <c r="BK116" s="147">
        <f>ROUND(I116*H116,2)</f>
        <v>0</v>
      </c>
      <c r="BL116" s="18" t="s">
        <v>138</v>
      </c>
      <c r="BM116" s="146" t="s">
        <v>168</v>
      </c>
    </row>
    <row r="117" spans="1:47" s="2" customFormat="1" ht="39">
      <c r="A117" s="30"/>
      <c r="B117" s="31"/>
      <c r="C117" s="30"/>
      <c r="D117" s="149" t="s">
        <v>142</v>
      </c>
      <c r="E117" s="30"/>
      <c r="F117" s="162" t="s">
        <v>169</v>
      </c>
      <c r="G117" s="30"/>
      <c r="H117" s="30"/>
      <c r="I117" s="30"/>
      <c r="J117" s="30"/>
      <c r="K117" s="30"/>
      <c r="L117" s="31"/>
      <c r="M117" s="163"/>
      <c r="N117" s="164"/>
      <c r="O117" s="51"/>
      <c r="P117" s="51"/>
      <c r="Q117" s="51"/>
      <c r="R117" s="51"/>
      <c r="S117" s="51"/>
      <c r="T117" s="52"/>
      <c r="U117" s="30"/>
      <c r="V117" s="30"/>
      <c r="W117" s="30"/>
      <c r="X117" s="30"/>
      <c r="Y117" s="30"/>
      <c r="Z117" s="30"/>
      <c r="AA117" s="30"/>
      <c r="AB117" s="30"/>
      <c r="AC117" s="30"/>
      <c r="AD117" s="30"/>
      <c r="AE117" s="30"/>
      <c r="AT117" s="18" t="s">
        <v>142</v>
      </c>
      <c r="AU117" s="18" t="s">
        <v>82</v>
      </c>
    </row>
    <row r="118" spans="1:65" s="2" customFormat="1" ht="24.2" customHeight="1">
      <c r="A118" s="30"/>
      <c r="B118" s="135"/>
      <c r="C118" s="172">
        <v>10</v>
      </c>
      <c r="D118" s="172" t="s">
        <v>146</v>
      </c>
      <c r="E118" s="173" t="s">
        <v>171</v>
      </c>
      <c r="F118" s="174" t="s">
        <v>172</v>
      </c>
      <c r="G118" s="175" t="s">
        <v>140</v>
      </c>
      <c r="H118" s="176">
        <v>2</v>
      </c>
      <c r="I118" s="177"/>
      <c r="J118" s="177">
        <f>ROUND(I118*H118,2)</f>
        <v>0</v>
      </c>
      <c r="K118" s="174" t="s">
        <v>141</v>
      </c>
      <c r="L118" s="178"/>
      <c r="M118" s="179" t="s">
        <v>3</v>
      </c>
      <c r="N118" s="180" t="s">
        <v>43</v>
      </c>
      <c r="O118" s="144">
        <v>0</v>
      </c>
      <c r="P118" s="144">
        <f>O118*H118</f>
        <v>0</v>
      </c>
      <c r="Q118" s="144">
        <v>0.01272</v>
      </c>
      <c r="R118" s="144">
        <f>Q118*H118</f>
        <v>0.02544</v>
      </c>
      <c r="S118" s="144">
        <v>0</v>
      </c>
      <c r="T118" s="145">
        <f>S118*H118</f>
        <v>0</v>
      </c>
      <c r="U118" s="30"/>
      <c r="V118" s="30"/>
      <c r="W118" s="30"/>
      <c r="X118" s="30"/>
      <c r="Y118" s="30"/>
      <c r="Z118" s="30"/>
      <c r="AA118" s="30"/>
      <c r="AB118" s="30"/>
      <c r="AC118" s="30"/>
      <c r="AD118" s="30"/>
      <c r="AE118" s="30"/>
      <c r="AR118" s="146" t="s">
        <v>147</v>
      </c>
      <c r="AT118" s="146" t="s">
        <v>146</v>
      </c>
      <c r="AU118" s="146" t="s">
        <v>82</v>
      </c>
      <c r="AY118" s="18" t="s">
        <v>133</v>
      </c>
      <c r="BE118" s="147">
        <f>IF(N118="základní",J118,0)</f>
        <v>0</v>
      </c>
      <c r="BF118" s="147">
        <f>IF(N118="snížená",J118,0)</f>
        <v>0</v>
      </c>
      <c r="BG118" s="147">
        <f>IF(N118="zákl. přenesená",J118,0)</f>
        <v>0</v>
      </c>
      <c r="BH118" s="147">
        <f>IF(N118="sníž. přenesená",J118,0)</f>
        <v>0</v>
      </c>
      <c r="BI118" s="147">
        <f>IF(N118="nulová",J118,0)</f>
        <v>0</v>
      </c>
      <c r="BJ118" s="18" t="s">
        <v>80</v>
      </c>
      <c r="BK118" s="147">
        <f>ROUND(I118*H118,2)</f>
        <v>0</v>
      </c>
      <c r="BL118" s="18" t="s">
        <v>138</v>
      </c>
      <c r="BM118" s="146" t="s">
        <v>173</v>
      </c>
    </row>
    <row r="119" spans="2:63" s="12" customFormat="1" ht="22.9" customHeight="1">
      <c r="B119" s="123"/>
      <c r="D119" s="124" t="s">
        <v>71</v>
      </c>
      <c r="E119" s="133" t="s">
        <v>150</v>
      </c>
      <c r="F119" s="133" t="s">
        <v>174</v>
      </c>
      <c r="J119" s="134">
        <f>SUM(J120:J150)</f>
        <v>0</v>
      </c>
      <c r="L119" s="123"/>
      <c r="M119" s="127"/>
      <c r="N119" s="128"/>
      <c r="O119" s="128"/>
      <c r="P119" s="129">
        <f>SUM(P120:P150)</f>
        <v>13.232034599999999</v>
      </c>
      <c r="Q119" s="128"/>
      <c r="R119" s="129">
        <f>SUM(R120:R150)</f>
        <v>0.006782099999999999</v>
      </c>
      <c r="S119" s="128"/>
      <c r="T119" s="130">
        <f>SUM(T120:T150)</f>
        <v>2.1733264</v>
      </c>
      <c r="AR119" s="124" t="s">
        <v>80</v>
      </c>
      <c r="AT119" s="131" t="s">
        <v>71</v>
      </c>
      <c r="AU119" s="131" t="s">
        <v>80</v>
      </c>
      <c r="AY119" s="124" t="s">
        <v>133</v>
      </c>
      <c r="BK119" s="132">
        <f>SUM(BK120:BK150)</f>
        <v>0</v>
      </c>
    </row>
    <row r="120" spans="1:65" s="2" customFormat="1" ht="37.9" customHeight="1">
      <c r="A120" s="30"/>
      <c r="B120" s="135"/>
      <c r="C120" s="136">
        <v>11</v>
      </c>
      <c r="D120" s="136" t="s">
        <v>136</v>
      </c>
      <c r="E120" s="137" t="s">
        <v>175</v>
      </c>
      <c r="F120" s="138" t="s">
        <v>176</v>
      </c>
      <c r="G120" s="139" t="s">
        <v>149</v>
      </c>
      <c r="H120" s="140">
        <f>H128</f>
        <v>52.17</v>
      </c>
      <c r="I120" s="141"/>
      <c r="J120" s="141">
        <f>ROUND(I120*H120,2)</f>
        <v>0</v>
      </c>
      <c r="K120" s="138" t="s">
        <v>141</v>
      </c>
      <c r="L120" s="31"/>
      <c r="M120" s="142" t="s">
        <v>3</v>
      </c>
      <c r="N120" s="143" t="s">
        <v>43</v>
      </c>
      <c r="O120" s="144">
        <v>0.105</v>
      </c>
      <c r="P120" s="144">
        <f>O120*H120</f>
        <v>5.47785</v>
      </c>
      <c r="Q120" s="144">
        <v>0.00013</v>
      </c>
      <c r="R120" s="144">
        <f>Q120*H120</f>
        <v>0.006782099999999999</v>
      </c>
      <c r="S120" s="144">
        <v>0</v>
      </c>
      <c r="T120" s="145">
        <f>S120*H120</f>
        <v>0</v>
      </c>
      <c r="U120" s="30"/>
      <c r="V120" s="30"/>
      <c r="W120" s="30"/>
      <c r="X120" s="30"/>
      <c r="Y120" s="30"/>
      <c r="Z120" s="30"/>
      <c r="AA120" s="30"/>
      <c r="AB120" s="30"/>
      <c r="AC120" s="30"/>
      <c r="AD120" s="30"/>
      <c r="AE120" s="30"/>
      <c r="AR120" s="146" t="s">
        <v>138</v>
      </c>
      <c r="AT120" s="146" t="s">
        <v>136</v>
      </c>
      <c r="AU120" s="146" t="s">
        <v>82</v>
      </c>
      <c r="AY120" s="18" t="s">
        <v>133</v>
      </c>
      <c r="BE120" s="147">
        <f>IF(N120="základní",J120,0)</f>
        <v>0</v>
      </c>
      <c r="BF120" s="147">
        <f>IF(N120="snížená",J120,0)</f>
        <v>0</v>
      </c>
      <c r="BG120" s="147">
        <f>IF(N120="zákl. přenesená",J120,0)</f>
        <v>0</v>
      </c>
      <c r="BH120" s="147">
        <f>IF(N120="sníž. přenesená",J120,0)</f>
        <v>0</v>
      </c>
      <c r="BI120" s="147">
        <f>IF(N120="nulová",J120,0)</f>
        <v>0</v>
      </c>
      <c r="BJ120" s="18" t="s">
        <v>80</v>
      </c>
      <c r="BK120" s="147">
        <f>ROUND(I120*H120,2)</f>
        <v>0</v>
      </c>
      <c r="BL120" s="18" t="s">
        <v>138</v>
      </c>
      <c r="BM120" s="146" t="s">
        <v>177</v>
      </c>
    </row>
    <row r="121" spans="1:47" s="2" customFormat="1" ht="78">
      <c r="A121" s="30"/>
      <c r="B121" s="31"/>
      <c r="C121" s="30"/>
      <c r="D121" s="149" t="s">
        <v>142</v>
      </c>
      <c r="E121" s="30"/>
      <c r="F121" s="162" t="s">
        <v>178</v>
      </c>
      <c r="G121" s="30"/>
      <c r="H121" s="30"/>
      <c r="I121" s="30"/>
      <c r="J121" s="30"/>
      <c r="K121" s="30"/>
      <c r="L121" s="31"/>
      <c r="M121" s="163"/>
      <c r="N121" s="164"/>
      <c r="O121" s="51"/>
      <c r="P121" s="51"/>
      <c r="Q121" s="51"/>
      <c r="R121" s="51"/>
      <c r="S121" s="51"/>
      <c r="T121" s="52"/>
      <c r="U121" s="30"/>
      <c r="V121" s="30"/>
      <c r="W121" s="30"/>
      <c r="X121" s="30"/>
      <c r="Y121" s="30"/>
      <c r="Z121" s="30"/>
      <c r="AA121" s="30"/>
      <c r="AB121" s="30"/>
      <c r="AC121" s="30"/>
      <c r="AD121" s="30"/>
      <c r="AE121" s="30"/>
      <c r="AT121" s="18" t="s">
        <v>142</v>
      </c>
      <c r="AU121" s="18" t="s">
        <v>82</v>
      </c>
    </row>
    <row r="122" spans="2:51" s="13" customFormat="1" ht="12">
      <c r="B122" s="148"/>
      <c r="D122" s="149" t="s">
        <v>139</v>
      </c>
      <c r="E122" s="150" t="s">
        <v>3</v>
      </c>
      <c r="F122" s="151">
        <v>101</v>
      </c>
      <c r="H122" s="150" t="s">
        <v>3</v>
      </c>
      <c r="L122" s="148"/>
      <c r="M122" s="152"/>
      <c r="N122" s="153"/>
      <c r="O122" s="153"/>
      <c r="P122" s="153"/>
      <c r="Q122" s="153"/>
      <c r="R122" s="153"/>
      <c r="S122" s="153"/>
      <c r="T122" s="154"/>
      <c r="AT122" s="150" t="s">
        <v>139</v>
      </c>
      <c r="AU122" s="150" t="s">
        <v>82</v>
      </c>
      <c r="AV122" s="13" t="s">
        <v>80</v>
      </c>
      <c r="AW122" s="13" t="s">
        <v>34</v>
      </c>
      <c r="AX122" s="13" t="s">
        <v>72</v>
      </c>
      <c r="AY122" s="150" t="s">
        <v>133</v>
      </c>
    </row>
    <row r="123" spans="2:51" s="14" customFormat="1" ht="12">
      <c r="B123" s="155"/>
      <c r="D123" s="149" t="s">
        <v>139</v>
      </c>
      <c r="E123" s="156" t="s">
        <v>3</v>
      </c>
      <c r="F123" s="157">
        <v>13.76</v>
      </c>
      <c r="H123" s="158">
        <f>F123</f>
        <v>13.76</v>
      </c>
      <c r="L123" s="155"/>
      <c r="M123" s="159"/>
      <c r="N123" s="160"/>
      <c r="O123" s="160"/>
      <c r="P123" s="160"/>
      <c r="Q123" s="160"/>
      <c r="R123" s="160"/>
      <c r="S123" s="160"/>
      <c r="T123" s="161"/>
      <c r="AT123" s="156" t="s">
        <v>139</v>
      </c>
      <c r="AU123" s="156" t="s">
        <v>82</v>
      </c>
      <c r="AV123" s="14" t="s">
        <v>82</v>
      </c>
      <c r="AW123" s="14" t="s">
        <v>34</v>
      </c>
      <c r="AX123" s="14" t="s">
        <v>72</v>
      </c>
      <c r="AY123" s="156" t="s">
        <v>133</v>
      </c>
    </row>
    <row r="124" spans="2:51" s="13" customFormat="1" ht="12">
      <c r="B124" s="148"/>
      <c r="D124" s="149" t="s">
        <v>139</v>
      </c>
      <c r="E124" s="150" t="s">
        <v>3</v>
      </c>
      <c r="F124" s="151">
        <v>102</v>
      </c>
      <c r="H124" s="150" t="s">
        <v>3</v>
      </c>
      <c r="L124" s="148"/>
      <c r="M124" s="152"/>
      <c r="N124" s="153"/>
      <c r="O124" s="153"/>
      <c r="P124" s="153"/>
      <c r="Q124" s="153"/>
      <c r="R124" s="153"/>
      <c r="S124" s="153"/>
      <c r="T124" s="154"/>
      <c r="AT124" s="150" t="s">
        <v>139</v>
      </c>
      <c r="AU124" s="150" t="s">
        <v>82</v>
      </c>
      <c r="AV124" s="13" t="s">
        <v>80</v>
      </c>
      <c r="AW124" s="13" t="s">
        <v>34</v>
      </c>
      <c r="AX124" s="13" t="s">
        <v>72</v>
      </c>
      <c r="AY124" s="150" t="s">
        <v>133</v>
      </c>
    </row>
    <row r="125" spans="2:51" s="14" customFormat="1" ht="12">
      <c r="B125" s="155"/>
      <c r="D125" s="149" t="s">
        <v>139</v>
      </c>
      <c r="E125" s="156" t="s">
        <v>3</v>
      </c>
      <c r="F125" s="157">
        <v>17.47</v>
      </c>
      <c r="H125" s="158">
        <f>F125</f>
        <v>17.47</v>
      </c>
      <c r="L125" s="155"/>
      <c r="M125" s="159"/>
      <c r="N125" s="160"/>
      <c r="O125" s="160"/>
      <c r="P125" s="160"/>
      <c r="Q125" s="160"/>
      <c r="R125" s="160"/>
      <c r="S125" s="160"/>
      <c r="T125" s="161"/>
      <c r="AT125" s="156" t="s">
        <v>139</v>
      </c>
      <c r="AU125" s="156" t="s">
        <v>82</v>
      </c>
      <c r="AV125" s="14" t="s">
        <v>82</v>
      </c>
      <c r="AW125" s="14" t="s">
        <v>34</v>
      </c>
      <c r="AX125" s="14" t="s">
        <v>72</v>
      </c>
      <c r="AY125" s="156" t="s">
        <v>133</v>
      </c>
    </row>
    <row r="126" spans="2:51" s="13" customFormat="1" ht="12">
      <c r="B126" s="148"/>
      <c r="D126" s="149" t="s">
        <v>139</v>
      </c>
      <c r="E126" s="150" t="s">
        <v>3</v>
      </c>
      <c r="F126" s="151">
        <v>103</v>
      </c>
      <c r="H126" s="150" t="s">
        <v>3</v>
      </c>
      <c r="L126" s="148"/>
      <c r="M126" s="152"/>
      <c r="N126" s="153"/>
      <c r="O126" s="153"/>
      <c r="P126" s="153"/>
      <c r="Q126" s="153"/>
      <c r="R126" s="153"/>
      <c r="S126" s="153"/>
      <c r="T126" s="154"/>
      <c r="AT126" s="150" t="s">
        <v>139</v>
      </c>
      <c r="AU126" s="150" t="s">
        <v>82</v>
      </c>
      <c r="AV126" s="13" t="s">
        <v>80</v>
      </c>
      <c r="AW126" s="13" t="s">
        <v>34</v>
      </c>
      <c r="AX126" s="13" t="s">
        <v>72</v>
      </c>
      <c r="AY126" s="150" t="s">
        <v>133</v>
      </c>
    </row>
    <row r="127" spans="2:51" s="14" customFormat="1" ht="12">
      <c r="B127" s="155"/>
      <c r="D127" s="149" t="s">
        <v>139</v>
      </c>
      <c r="E127" s="156" t="s">
        <v>3</v>
      </c>
      <c r="F127" s="157">
        <f>F112</f>
        <v>20.94</v>
      </c>
      <c r="H127" s="158">
        <f>F127</f>
        <v>20.94</v>
      </c>
      <c r="L127" s="155"/>
      <c r="M127" s="159"/>
      <c r="N127" s="160"/>
      <c r="O127" s="160"/>
      <c r="P127" s="160"/>
      <c r="Q127" s="160"/>
      <c r="R127" s="160"/>
      <c r="S127" s="160"/>
      <c r="T127" s="161"/>
      <c r="AT127" s="156" t="s">
        <v>139</v>
      </c>
      <c r="AU127" s="156" t="s">
        <v>82</v>
      </c>
      <c r="AV127" s="14" t="s">
        <v>82</v>
      </c>
      <c r="AW127" s="14" t="s">
        <v>34</v>
      </c>
      <c r="AX127" s="14" t="s">
        <v>72</v>
      </c>
      <c r="AY127" s="156" t="s">
        <v>133</v>
      </c>
    </row>
    <row r="128" spans="2:51" s="15" customFormat="1" ht="12">
      <c r="B128" s="165"/>
      <c r="D128" s="149" t="s">
        <v>139</v>
      </c>
      <c r="E128" s="166" t="s">
        <v>3</v>
      </c>
      <c r="F128" s="167" t="s">
        <v>143</v>
      </c>
      <c r="H128" s="168">
        <f>H123+H125+H127</f>
        <v>52.17</v>
      </c>
      <c r="L128" s="165"/>
      <c r="M128" s="169"/>
      <c r="N128" s="170"/>
      <c r="O128" s="170"/>
      <c r="P128" s="170"/>
      <c r="Q128" s="170"/>
      <c r="R128" s="170"/>
      <c r="S128" s="170"/>
      <c r="T128" s="171"/>
      <c r="AT128" s="166" t="s">
        <v>139</v>
      </c>
      <c r="AU128" s="166" t="s">
        <v>82</v>
      </c>
      <c r="AV128" s="15" t="s">
        <v>138</v>
      </c>
      <c r="AW128" s="15" t="s">
        <v>34</v>
      </c>
      <c r="AX128" s="15" t="s">
        <v>80</v>
      </c>
      <c r="AY128" s="166" t="s">
        <v>133</v>
      </c>
    </row>
    <row r="129" spans="1:65" s="2" customFormat="1" ht="37.9" customHeight="1">
      <c r="A129" s="30"/>
      <c r="B129" s="135"/>
      <c r="C129" s="136">
        <v>12</v>
      </c>
      <c r="D129" s="136" t="s">
        <v>136</v>
      </c>
      <c r="E129" s="137" t="s">
        <v>180</v>
      </c>
      <c r="F129" s="138" t="s">
        <v>181</v>
      </c>
      <c r="G129" s="139" t="s">
        <v>149</v>
      </c>
      <c r="H129" s="140">
        <f>H132</f>
        <v>0.9211999999999999</v>
      </c>
      <c r="I129" s="141"/>
      <c r="J129" s="141">
        <f>ROUND(I129*H129,2)</f>
        <v>0</v>
      </c>
      <c r="K129" s="138" t="s">
        <v>141</v>
      </c>
      <c r="L129" s="31"/>
      <c r="M129" s="142" t="s">
        <v>3</v>
      </c>
      <c r="N129" s="143" t="s">
        <v>43</v>
      </c>
      <c r="O129" s="144">
        <v>0.471</v>
      </c>
      <c r="P129" s="144">
        <f>O129*H129</f>
        <v>0.4338851999999999</v>
      </c>
      <c r="Q129" s="144">
        <v>0</v>
      </c>
      <c r="R129" s="144">
        <f>Q129*H129</f>
        <v>0</v>
      </c>
      <c r="S129" s="144">
        <v>0.038</v>
      </c>
      <c r="T129" s="145">
        <f>S129*H129</f>
        <v>0.0350056</v>
      </c>
      <c r="U129" s="30"/>
      <c r="V129" s="30"/>
      <c r="W129" s="30"/>
      <c r="X129" s="30"/>
      <c r="Y129" s="30"/>
      <c r="Z129" s="30"/>
      <c r="AA129" s="30"/>
      <c r="AB129" s="30"/>
      <c r="AC129" s="30"/>
      <c r="AD129" s="30"/>
      <c r="AE129" s="30"/>
      <c r="AR129" s="146" t="s">
        <v>138</v>
      </c>
      <c r="AT129" s="146" t="s">
        <v>136</v>
      </c>
      <c r="AU129" s="146" t="s">
        <v>82</v>
      </c>
      <c r="AY129" s="18" t="s">
        <v>133</v>
      </c>
      <c r="BE129" s="147">
        <f>IF(N129="základní",J129,0)</f>
        <v>0</v>
      </c>
      <c r="BF129" s="147">
        <f>IF(N129="snížená",J129,0)</f>
        <v>0</v>
      </c>
      <c r="BG129" s="147">
        <f>IF(N129="zákl. přenesená",J129,0)</f>
        <v>0</v>
      </c>
      <c r="BH129" s="147">
        <f>IF(N129="sníž. přenesená",J129,0)</f>
        <v>0</v>
      </c>
      <c r="BI129" s="147">
        <f>IF(N129="nulová",J129,0)</f>
        <v>0</v>
      </c>
      <c r="BJ129" s="18" t="s">
        <v>80</v>
      </c>
      <c r="BK129" s="147">
        <f>ROUND(I129*H129,2)</f>
        <v>0</v>
      </c>
      <c r="BL129" s="18" t="s">
        <v>138</v>
      </c>
      <c r="BM129" s="146" t="s">
        <v>182</v>
      </c>
    </row>
    <row r="130" spans="1:47" s="2" customFormat="1" ht="39">
      <c r="A130" s="30"/>
      <c r="B130" s="31"/>
      <c r="C130" s="30"/>
      <c r="D130" s="149" t="s">
        <v>142</v>
      </c>
      <c r="E130" s="30"/>
      <c r="F130" s="162" t="s">
        <v>183</v>
      </c>
      <c r="G130" s="30"/>
      <c r="H130" s="30"/>
      <c r="I130" s="30"/>
      <c r="J130" s="30"/>
      <c r="K130" s="30"/>
      <c r="L130" s="31"/>
      <c r="M130" s="163"/>
      <c r="N130" s="164"/>
      <c r="O130" s="51"/>
      <c r="P130" s="51"/>
      <c r="Q130" s="51"/>
      <c r="R130" s="51"/>
      <c r="S130" s="51"/>
      <c r="T130" s="52"/>
      <c r="U130" s="30"/>
      <c r="V130" s="30"/>
      <c r="W130" s="30"/>
      <c r="X130" s="30"/>
      <c r="Y130" s="30"/>
      <c r="Z130" s="30"/>
      <c r="AA130" s="30"/>
      <c r="AB130" s="30"/>
      <c r="AC130" s="30"/>
      <c r="AD130" s="30"/>
      <c r="AE130" s="30"/>
      <c r="AT130" s="18" t="s">
        <v>142</v>
      </c>
      <c r="AU130" s="18" t="s">
        <v>82</v>
      </c>
    </row>
    <row r="131" spans="2:51" s="13" customFormat="1" ht="12">
      <c r="B131" s="148"/>
      <c r="D131" s="149" t="s">
        <v>139</v>
      </c>
      <c r="E131" s="150" t="s">
        <v>3</v>
      </c>
      <c r="F131" s="151" t="s">
        <v>915</v>
      </c>
      <c r="H131" s="150" t="s">
        <v>3</v>
      </c>
      <c r="L131" s="148"/>
      <c r="M131" s="152"/>
      <c r="N131" s="153"/>
      <c r="O131" s="153"/>
      <c r="P131" s="153"/>
      <c r="Q131" s="153"/>
      <c r="R131" s="153"/>
      <c r="S131" s="153"/>
      <c r="T131" s="154"/>
      <c r="AT131" s="150" t="s">
        <v>139</v>
      </c>
      <c r="AU131" s="150" t="s">
        <v>82</v>
      </c>
      <c r="AV131" s="13" t="s">
        <v>80</v>
      </c>
      <c r="AW131" s="13" t="s">
        <v>34</v>
      </c>
      <c r="AX131" s="13" t="s">
        <v>72</v>
      </c>
      <c r="AY131" s="150" t="s">
        <v>133</v>
      </c>
    </row>
    <row r="132" spans="2:51" s="14" customFormat="1" ht="12">
      <c r="B132" s="155"/>
      <c r="D132" s="149" t="s">
        <v>139</v>
      </c>
      <c r="E132" s="156" t="s">
        <v>3</v>
      </c>
      <c r="F132" s="157" t="s">
        <v>916</v>
      </c>
      <c r="H132" s="158">
        <f>0.98*0.94</f>
        <v>0.9211999999999999</v>
      </c>
      <c r="L132" s="155"/>
      <c r="M132" s="159"/>
      <c r="N132" s="160"/>
      <c r="O132" s="160"/>
      <c r="P132" s="160"/>
      <c r="Q132" s="160"/>
      <c r="R132" s="160"/>
      <c r="S132" s="160"/>
      <c r="T132" s="161"/>
      <c r="AT132" s="156" t="s">
        <v>139</v>
      </c>
      <c r="AU132" s="156" t="s">
        <v>82</v>
      </c>
      <c r="AV132" s="14" t="s">
        <v>82</v>
      </c>
      <c r="AW132" s="14" t="s">
        <v>34</v>
      </c>
      <c r="AX132" s="14" t="s">
        <v>72</v>
      </c>
      <c r="AY132" s="156" t="s">
        <v>133</v>
      </c>
    </row>
    <row r="133" spans="1:65" s="290" customFormat="1" ht="37.9" customHeight="1">
      <c r="A133" s="291"/>
      <c r="B133" s="135"/>
      <c r="C133" s="136">
        <v>13</v>
      </c>
      <c r="D133" s="136" t="s">
        <v>136</v>
      </c>
      <c r="E133" s="137" t="s">
        <v>981</v>
      </c>
      <c r="F133" s="138" t="s">
        <v>982</v>
      </c>
      <c r="G133" s="139" t="s">
        <v>149</v>
      </c>
      <c r="H133" s="140">
        <f>H135</f>
        <v>1.5677999999999999</v>
      </c>
      <c r="I133" s="141"/>
      <c r="J133" s="141">
        <f>ROUND(I133*H133,2)</f>
        <v>0</v>
      </c>
      <c r="K133" s="138" t="s">
        <v>141</v>
      </c>
      <c r="L133" s="31"/>
      <c r="M133" s="142" t="s">
        <v>3</v>
      </c>
      <c r="N133" s="292" t="s">
        <v>43</v>
      </c>
      <c r="O133" s="293">
        <v>0.939</v>
      </c>
      <c r="P133" s="293">
        <f>O133*H133</f>
        <v>1.4721641999999997</v>
      </c>
      <c r="Q133" s="293">
        <v>0</v>
      </c>
      <c r="R133" s="293">
        <f>Q133*H133</f>
        <v>0</v>
      </c>
      <c r="S133" s="293">
        <v>0.076</v>
      </c>
      <c r="T133" s="145">
        <f>S133*H133</f>
        <v>0.11915279999999999</v>
      </c>
      <c r="U133" s="291"/>
      <c r="V133" s="291"/>
      <c r="W133" s="291"/>
      <c r="X133" s="291"/>
      <c r="Y133" s="291"/>
      <c r="Z133" s="291"/>
      <c r="AA133" s="291"/>
      <c r="AB133" s="291"/>
      <c r="AC133" s="291"/>
      <c r="AD133" s="291"/>
      <c r="AE133" s="291"/>
      <c r="AR133" s="294" t="s">
        <v>138</v>
      </c>
      <c r="AT133" s="294" t="s">
        <v>136</v>
      </c>
      <c r="AU133" s="294" t="s">
        <v>82</v>
      </c>
      <c r="AY133" s="295" t="s">
        <v>133</v>
      </c>
      <c r="BE133" s="296">
        <f>IF(N133="základní",J133,0)</f>
        <v>0</v>
      </c>
      <c r="BF133" s="296">
        <f>IF(N133="snížená",J133,0)</f>
        <v>0</v>
      </c>
      <c r="BG133" s="296">
        <f>IF(N133="zákl. přenesená",J133,0)</f>
        <v>0</v>
      </c>
      <c r="BH133" s="296">
        <f>IF(N133="sníž. přenesená",J133,0)</f>
        <v>0</v>
      </c>
      <c r="BI133" s="296">
        <f>IF(N133="nulová",J133,0)</f>
        <v>0</v>
      </c>
      <c r="BJ133" s="295" t="s">
        <v>80</v>
      </c>
      <c r="BK133" s="296">
        <f>ROUND(I133*H133,2)</f>
        <v>0</v>
      </c>
      <c r="BL133" s="295" t="s">
        <v>138</v>
      </c>
      <c r="BM133" s="294" t="s">
        <v>983</v>
      </c>
    </row>
    <row r="134" spans="1:47" s="290" customFormat="1" ht="58.5">
      <c r="A134" s="291"/>
      <c r="B134" s="31"/>
      <c r="C134" s="291"/>
      <c r="D134" s="297" t="s">
        <v>142</v>
      </c>
      <c r="E134" s="291"/>
      <c r="F134" s="299" t="s">
        <v>984</v>
      </c>
      <c r="G134" s="291"/>
      <c r="H134" s="291"/>
      <c r="I134" s="291"/>
      <c r="J134" s="291"/>
      <c r="K134" s="291"/>
      <c r="L134" s="31"/>
      <c r="M134" s="163"/>
      <c r="O134" s="291"/>
      <c r="P134" s="291"/>
      <c r="Q134" s="291"/>
      <c r="R134" s="291"/>
      <c r="S134" s="291"/>
      <c r="T134" s="52"/>
      <c r="U134" s="291"/>
      <c r="V134" s="291"/>
      <c r="W134" s="291"/>
      <c r="X134" s="291"/>
      <c r="Y134" s="291"/>
      <c r="Z134" s="291"/>
      <c r="AA134" s="291"/>
      <c r="AB134" s="291"/>
      <c r="AC134" s="291"/>
      <c r="AD134" s="291"/>
      <c r="AE134" s="291"/>
      <c r="AT134" s="295" t="s">
        <v>142</v>
      </c>
      <c r="AU134" s="295" t="s">
        <v>82</v>
      </c>
    </row>
    <row r="135" spans="2:51" s="302" customFormat="1" ht="12">
      <c r="B135" s="155"/>
      <c r="D135" s="297" t="s">
        <v>139</v>
      </c>
      <c r="E135" s="305" t="s">
        <v>3</v>
      </c>
      <c r="F135" s="306" t="s">
        <v>974</v>
      </c>
      <c r="H135" s="307">
        <f>0.78*2.01</f>
        <v>1.5677999999999999</v>
      </c>
      <c r="L135" s="155"/>
      <c r="M135" s="159"/>
      <c r="T135" s="161"/>
      <c r="AT135" s="305" t="s">
        <v>139</v>
      </c>
      <c r="AU135" s="305" t="s">
        <v>82</v>
      </c>
      <c r="AV135" s="302" t="s">
        <v>82</v>
      </c>
      <c r="AW135" s="302" t="s">
        <v>34</v>
      </c>
      <c r="AX135" s="302" t="s">
        <v>72</v>
      </c>
      <c r="AY135" s="305" t="s">
        <v>133</v>
      </c>
    </row>
    <row r="136" spans="1:65" s="290" customFormat="1" ht="49.15" customHeight="1">
      <c r="A136" s="291"/>
      <c r="B136" s="135"/>
      <c r="C136" s="136">
        <v>14</v>
      </c>
      <c r="D136" s="136" t="s">
        <v>136</v>
      </c>
      <c r="E136" s="137" t="s">
        <v>917</v>
      </c>
      <c r="F136" s="138" t="s">
        <v>918</v>
      </c>
      <c r="G136" s="139" t="s">
        <v>919</v>
      </c>
      <c r="H136" s="140">
        <f>H138</f>
        <v>0.36014999999999997</v>
      </c>
      <c r="I136" s="141"/>
      <c r="J136" s="141">
        <f>ROUND(I136*H136,2)</f>
        <v>0</v>
      </c>
      <c r="K136" s="138" t="s">
        <v>141</v>
      </c>
      <c r="L136" s="31"/>
      <c r="M136" s="142" t="s">
        <v>3</v>
      </c>
      <c r="N136" s="292" t="s">
        <v>43</v>
      </c>
      <c r="O136" s="293">
        <v>3.608</v>
      </c>
      <c r="P136" s="293">
        <f>O136*H136</f>
        <v>1.2994211999999998</v>
      </c>
      <c r="Q136" s="293">
        <v>0</v>
      </c>
      <c r="R136" s="293">
        <f>Q136*H136</f>
        <v>0</v>
      </c>
      <c r="S136" s="293">
        <v>1.8</v>
      </c>
      <c r="T136" s="145">
        <f>S136*H136</f>
        <v>0.64827</v>
      </c>
      <c r="U136" s="291"/>
      <c r="V136" s="291"/>
      <c r="W136" s="291"/>
      <c r="X136" s="291"/>
      <c r="Y136" s="291"/>
      <c r="Z136" s="291"/>
      <c r="AA136" s="291"/>
      <c r="AB136" s="291"/>
      <c r="AC136" s="291"/>
      <c r="AD136" s="291"/>
      <c r="AE136" s="291"/>
      <c r="AR136" s="294" t="s">
        <v>138</v>
      </c>
      <c r="AT136" s="294" t="s">
        <v>136</v>
      </c>
      <c r="AU136" s="294" t="s">
        <v>82</v>
      </c>
      <c r="AY136" s="295" t="s">
        <v>133</v>
      </c>
      <c r="BE136" s="296">
        <f>IF(N136="základní",J136,0)</f>
        <v>0</v>
      </c>
      <c r="BF136" s="296">
        <f>IF(N136="snížená",J136,0)</f>
        <v>0</v>
      </c>
      <c r="BG136" s="296">
        <f>IF(N136="zákl. přenesená",J136,0)</f>
        <v>0</v>
      </c>
      <c r="BH136" s="296">
        <f>IF(N136="sníž. přenesená",J136,0)</f>
        <v>0</v>
      </c>
      <c r="BI136" s="296">
        <f>IF(N136="nulová",J136,0)</f>
        <v>0</v>
      </c>
      <c r="BJ136" s="295" t="s">
        <v>80</v>
      </c>
      <c r="BK136" s="296">
        <f>ROUND(I136*H136,2)</f>
        <v>0</v>
      </c>
      <c r="BL136" s="295" t="s">
        <v>138</v>
      </c>
      <c r="BM136" s="294" t="s">
        <v>920</v>
      </c>
    </row>
    <row r="137" spans="2:51" s="300" customFormat="1" ht="12">
      <c r="B137" s="148"/>
      <c r="D137" s="297" t="s">
        <v>139</v>
      </c>
      <c r="E137" s="303" t="s">
        <v>3</v>
      </c>
      <c r="F137" s="304" t="s">
        <v>921</v>
      </c>
      <c r="H137" s="303" t="s">
        <v>3</v>
      </c>
      <c r="L137" s="148"/>
      <c r="M137" s="152"/>
      <c r="T137" s="154"/>
      <c r="AT137" s="303" t="s">
        <v>139</v>
      </c>
      <c r="AU137" s="303" t="s">
        <v>82</v>
      </c>
      <c r="AV137" s="300" t="s">
        <v>80</v>
      </c>
      <c r="AW137" s="300" t="s">
        <v>34</v>
      </c>
      <c r="AX137" s="300" t="s">
        <v>72</v>
      </c>
      <c r="AY137" s="303" t="s">
        <v>133</v>
      </c>
    </row>
    <row r="138" spans="2:51" s="302" customFormat="1" ht="12">
      <c r="B138" s="155"/>
      <c r="D138" s="297" t="s">
        <v>139</v>
      </c>
      <c r="E138" s="305" t="s">
        <v>3</v>
      </c>
      <c r="F138" s="306" t="s">
        <v>922</v>
      </c>
      <c r="H138" s="307">
        <f>0.35*0.98*1.05</f>
        <v>0.36014999999999997</v>
      </c>
      <c r="L138" s="155"/>
      <c r="M138" s="159"/>
      <c r="T138" s="161"/>
      <c r="AT138" s="305" t="s">
        <v>139</v>
      </c>
      <c r="AU138" s="305" t="s">
        <v>82</v>
      </c>
      <c r="AV138" s="302" t="s">
        <v>82</v>
      </c>
      <c r="AW138" s="302" t="s">
        <v>34</v>
      </c>
      <c r="AX138" s="302" t="s">
        <v>80</v>
      </c>
      <c r="AY138" s="305" t="s">
        <v>133</v>
      </c>
    </row>
    <row r="139" spans="1:65" s="290" customFormat="1" ht="49.15" customHeight="1">
      <c r="A139" s="291"/>
      <c r="B139" s="135"/>
      <c r="C139" s="136">
        <v>15</v>
      </c>
      <c r="D139" s="136" t="s">
        <v>136</v>
      </c>
      <c r="E139" s="137" t="s">
        <v>985</v>
      </c>
      <c r="F139" s="138" t="s">
        <v>986</v>
      </c>
      <c r="G139" s="139" t="s">
        <v>149</v>
      </c>
      <c r="H139" s="140">
        <f>H141</f>
        <v>1.9697999999999998</v>
      </c>
      <c r="I139" s="141"/>
      <c r="J139" s="141">
        <f>ROUND(I139*H139,2)</f>
        <v>0</v>
      </c>
      <c r="K139" s="138" t="s">
        <v>141</v>
      </c>
      <c r="L139" s="31"/>
      <c r="M139" s="142" t="s">
        <v>3</v>
      </c>
      <c r="N139" s="292" t="s">
        <v>43</v>
      </c>
      <c r="O139" s="293">
        <v>0.43</v>
      </c>
      <c r="P139" s="293">
        <f>O139*H139</f>
        <v>0.8470139999999999</v>
      </c>
      <c r="Q139" s="293">
        <v>0</v>
      </c>
      <c r="R139" s="293">
        <f>Q139*H139</f>
        <v>0</v>
      </c>
      <c r="S139" s="293">
        <v>0.27</v>
      </c>
      <c r="T139" s="145">
        <f>S139*H139</f>
        <v>0.5318459999999999</v>
      </c>
      <c r="U139" s="291"/>
      <c r="V139" s="291"/>
      <c r="W139" s="291"/>
      <c r="X139" s="291"/>
      <c r="Y139" s="291"/>
      <c r="Z139" s="291"/>
      <c r="AA139" s="291"/>
      <c r="AB139" s="291"/>
      <c r="AC139" s="291"/>
      <c r="AD139" s="291"/>
      <c r="AE139" s="291"/>
      <c r="AR139" s="294" t="s">
        <v>138</v>
      </c>
      <c r="AT139" s="294" t="s">
        <v>136</v>
      </c>
      <c r="AU139" s="294" t="s">
        <v>82</v>
      </c>
      <c r="AY139" s="295" t="s">
        <v>133</v>
      </c>
      <c r="BE139" s="296">
        <f>IF(N139="základní",J139,0)</f>
        <v>0</v>
      </c>
      <c r="BF139" s="296">
        <f>IF(N139="snížená",J139,0)</f>
        <v>0</v>
      </c>
      <c r="BG139" s="296">
        <f>IF(N139="zákl. přenesená",J139,0)</f>
        <v>0</v>
      </c>
      <c r="BH139" s="296">
        <f>IF(N139="sníž. přenesená",J139,0)</f>
        <v>0</v>
      </c>
      <c r="BI139" s="296">
        <f>IF(N139="nulová",J139,0)</f>
        <v>0</v>
      </c>
      <c r="BJ139" s="295" t="s">
        <v>80</v>
      </c>
      <c r="BK139" s="296">
        <f>ROUND(I139*H139,2)</f>
        <v>0</v>
      </c>
      <c r="BL139" s="295" t="s">
        <v>138</v>
      </c>
      <c r="BM139" s="294" t="s">
        <v>987</v>
      </c>
    </row>
    <row r="140" spans="2:51" s="300" customFormat="1" ht="12">
      <c r="B140" s="148"/>
      <c r="D140" s="297" t="s">
        <v>139</v>
      </c>
      <c r="E140" s="303" t="s">
        <v>3</v>
      </c>
      <c r="F140" s="304" t="s">
        <v>975</v>
      </c>
      <c r="H140" s="303" t="s">
        <v>3</v>
      </c>
      <c r="L140" s="148"/>
      <c r="M140" s="152"/>
      <c r="T140" s="154"/>
      <c r="AT140" s="303" t="s">
        <v>139</v>
      </c>
      <c r="AU140" s="303" t="s">
        <v>82</v>
      </c>
      <c r="AV140" s="300" t="s">
        <v>80</v>
      </c>
      <c r="AW140" s="300" t="s">
        <v>34</v>
      </c>
      <c r="AX140" s="300" t="s">
        <v>72</v>
      </c>
      <c r="AY140" s="303" t="s">
        <v>133</v>
      </c>
    </row>
    <row r="141" spans="2:51" s="302" customFormat="1" ht="12">
      <c r="B141" s="155"/>
      <c r="D141" s="297" t="s">
        <v>139</v>
      </c>
      <c r="E141" s="305" t="s">
        <v>3</v>
      </c>
      <c r="F141" s="306" t="s">
        <v>976</v>
      </c>
      <c r="H141" s="307">
        <f>0.98*2.01</f>
        <v>1.9697999999999998</v>
      </c>
      <c r="L141" s="155"/>
      <c r="M141" s="159"/>
      <c r="T141" s="161"/>
      <c r="AT141" s="305" t="s">
        <v>139</v>
      </c>
      <c r="AU141" s="305" t="s">
        <v>82</v>
      </c>
      <c r="AV141" s="302" t="s">
        <v>82</v>
      </c>
      <c r="AW141" s="302" t="s">
        <v>34</v>
      </c>
      <c r="AX141" s="302" t="s">
        <v>80</v>
      </c>
      <c r="AY141" s="305" t="s">
        <v>133</v>
      </c>
    </row>
    <row r="142" spans="1:65" s="2" customFormat="1" ht="37.9" customHeight="1">
      <c r="A142" s="30"/>
      <c r="B142" s="135"/>
      <c r="C142" s="136">
        <v>16</v>
      </c>
      <c r="D142" s="136" t="s">
        <v>136</v>
      </c>
      <c r="E142" s="137" t="s">
        <v>184</v>
      </c>
      <c r="F142" s="138" t="s">
        <v>185</v>
      </c>
      <c r="G142" s="139" t="s">
        <v>149</v>
      </c>
      <c r="H142" s="140">
        <f>H150</f>
        <v>12.339</v>
      </c>
      <c r="I142" s="141"/>
      <c r="J142" s="141">
        <f>ROUND(I142*H142,2)</f>
        <v>0</v>
      </c>
      <c r="K142" s="138" t="s">
        <v>141</v>
      </c>
      <c r="L142" s="31"/>
      <c r="M142" s="142" t="s">
        <v>3</v>
      </c>
      <c r="N142" s="143" t="s">
        <v>43</v>
      </c>
      <c r="O142" s="144">
        <v>0.3</v>
      </c>
      <c r="P142" s="144">
        <f>O142*H142</f>
        <v>3.7016999999999998</v>
      </c>
      <c r="Q142" s="144">
        <v>0</v>
      </c>
      <c r="R142" s="144">
        <f>Q142*H142</f>
        <v>0</v>
      </c>
      <c r="S142" s="144">
        <v>0.068</v>
      </c>
      <c r="T142" s="145">
        <f>S142*H142</f>
        <v>0.8390520000000001</v>
      </c>
      <c r="U142" s="30"/>
      <c r="V142" s="30"/>
      <c r="W142" s="30"/>
      <c r="X142" s="30"/>
      <c r="Y142" s="30"/>
      <c r="Z142" s="30"/>
      <c r="AA142" s="30"/>
      <c r="AB142" s="30"/>
      <c r="AC142" s="30"/>
      <c r="AD142" s="30"/>
      <c r="AE142" s="30"/>
      <c r="AR142" s="146" t="s">
        <v>138</v>
      </c>
      <c r="AT142" s="146" t="s">
        <v>136</v>
      </c>
      <c r="AU142" s="146" t="s">
        <v>82</v>
      </c>
      <c r="AY142" s="18" t="s">
        <v>133</v>
      </c>
      <c r="BE142" s="147">
        <f>IF(N142="základní",J142,0)</f>
        <v>0</v>
      </c>
      <c r="BF142" s="147">
        <f>IF(N142="snížená",J142,0)</f>
        <v>0</v>
      </c>
      <c r="BG142" s="147">
        <f>IF(N142="zákl. přenesená",J142,0)</f>
        <v>0</v>
      </c>
      <c r="BH142" s="147">
        <f>IF(N142="sníž. přenesená",J142,0)</f>
        <v>0</v>
      </c>
      <c r="BI142" s="147">
        <f>IF(N142="nulová",J142,0)</f>
        <v>0</v>
      </c>
      <c r="BJ142" s="18" t="s">
        <v>80</v>
      </c>
      <c r="BK142" s="147">
        <f>ROUND(I142*H142,2)</f>
        <v>0</v>
      </c>
      <c r="BL142" s="18" t="s">
        <v>138</v>
      </c>
      <c r="BM142" s="146" t="s">
        <v>186</v>
      </c>
    </row>
    <row r="143" spans="1:47" s="2" customFormat="1" ht="29.25">
      <c r="A143" s="30"/>
      <c r="B143" s="31"/>
      <c r="C143" s="30"/>
      <c r="D143" s="149" t="s">
        <v>142</v>
      </c>
      <c r="E143" s="30"/>
      <c r="F143" s="162" t="s">
        <v>179</v>
      </c>
      <c r="G143" s="30"/>
      <c r="H143" s="30"/>
      <c r="I143" s="30"/>
      <c r="J143" s="30"/>
      <c r="K143" s="30"/>
      <c r="L143" s="31"/>
      <c r="M143" s="163"/>
      <c r="N143" s="164"/>
      <c r="O143" s="51"/>
      <c r="P143" s="51"/>
      <c r="Q143" s="51"/>
      <c r="R143" s="51"/>
      <c r="S143" s="51"/>
      <c r="T143" s="52"/>
      <c r="U143" s="30"/>
      <c r="V143" s="30"/>
      <c r="W143" s="30"/>
      <c r="X143" s="30"/>
      <c r="Y143" s="30"/>
      <c r="Z143" s="30"/>
      <c r="AA143" s="30"/>
      <c r="AB143" s="30"/>
      <c r="AC143" s="30"/>
      <c r="AD143" s="30"/>
      <c r="AE143" s="30"/>
      <c r="AT143" s="18" t="s">
        <v>142</v>
      </c>
      <c r="AU143" s="18" t="s">
        <v>82</v>
      </c>
    </row>
    <row r="144" spans="2:51" s="13" customFormat="1" ht="12">
      <c r="B144" s="148"/>
      <c r="D144" s="149" t="s">
        <v>139</v>
      </c>
      <c r="E144" s="150" t="s">
        <v>3</v>
      </c>
      <c r="F144" s="151">
        <v>101</v>
      </c>
      <c r="H144" s="150" t="s">
        <v>3</v>
      </c>
      <c r="L144" s="148"/>
      <c r="M144" s="152"/>
      <c r="N144" s="153"/>
      <c r="O144" s="153"/>
      <c r="P144" s="153"/>
      <c r="Q144" s="153"/>
      <c r="R144" s="153"/>
      <c r="S144" s="153"/>
      <c r="T144" s="154"/>
      <c r="AT144" s="150" t="s">
        <v>139</v>
      </c>
      <c r="AU144" s="150" t="s">
        <v>82</v>
      </c>
      <c r="AV144" s="13" t="s">
        <v>80</v>
      </c>
      <c r="AW144" s="13" t="s">
        <v>34</v>
      </c>
      <c r="AX144" s="13" t="s">
        <v>72</v>
      </c>
      <c r="AY144" s="150" t="s">
        <v>133</v>
      </c>
    </row>
    <row r="145" spans="2:51" s="14" customFormat="1" ht="12">
      <c r="B145" s="155"/>
      <c r="D145" s="149" t="s">
        <v>139</v>
      </c>
      <c r="E145" s="156" t="s">
        <v>3</v>
      </c>
      <c r="F145" s="157" t="s">
        <v>923</v>
      </c>
      <c r="H145" s="158">
        <f>(3.25+0.43)*1.8</f>
        <v>6.6240000000000006</v>
      </c>
      <c r="L145" s="155"/>
      <c r="M145" s="159"/>
      <c r="N145" s="160"/>
      <c r="O145" s="160"/>
      <c r="P145" s="160"/>
      <c r="Q145" s="160"/>
      <c r="R145" s="160"/>
      <c r="S145" s="160"/>
      <c r="T145" s="161"/>
      <c r="AT145" s="156" t="s">
        <v>139</v>
      </c>
      <c r="AU145" s="156" t="s">
        <v>82</v>
      </c>
      <c r="AV145" s="14" t="s">
        <v>82</v>
      </c>
      <c r="AW145" s="14" t="s">
        <v>34</v>
      </c>
      <c r="AX145" s="14" t="s">
        <v>72</v>
      </c>
      <c r="AY145" s="156" t="s">
        <v>133</v>
      </c>
    </row>
    <row r="146" spans="2:51" s="13" customFormat="1" ht="12">
      <c r="B146" s="148"/>
      <c r="D146" s="149" t="s">
        <v>139</v>
      </c>
      <c r="E146" s="150" t="s">
        <v>3</v>
      </c>
      <c r="F146" s="151">
        <v>102</v>
      </c>
      <c r="H146" s="150" t="s">
        <v>3</v>
      </c>
      <c r="L146" s="148"/>
      <c r="M146" s="152"/>
      <c r="N146" s="153"/>
      <c r="O146" s="153"/>
      <c r="P146" s="153"/>
      <c r="Q146" s="153"/>
      <c r="R146" s="153"/>
      <c r="S146" s="153"/>
      <c r="T146" s="154"/>
      <c r="AT146" s="150" t="s">
        <v>139</v>
      </c>
      <c r="AU146" s="150" t="s">
        <v>82</v>
      </c>
      <c r="AV146" s="13" t="s">
        <v>80</v>
      </c>
      <c r="AW146" s="13" t="s">
        <v>34</v>
      </c>
      <c r="AX146" s="13" t="s">
        <v>72</v>
      </c>
      <c r="AY146" s="150" t="s">
        <v>133</v>
      </c>
    </row>
    <row r="147" spans="2:51" s="14" customFormat="1" ht="12">
      <c r="B147" s="155"/>
      <c r="D147" s="149" t="s">
        <v>139</v>
      </c>
      <c r="E147" s="156" t="s">
        <v>3</v>
      </c>
      <c r="F147" s="157" t="s">
        <v>924</v>
      </c>
      <c r="H147" s="158">
        <f>(1.2+0.45)*1.5</f>
        <v>2.4749999999999996</v>
      </c>
      <c r="L147" s="155"/>
      <c r="M147" s="159"/>
      <c r="N147" s="160"/>
      <c r="O147" s="160"/>
      <c r="P147" s="160"/>
      <c r="Q147" s="160"/>
      <c r="R147" s="160"/>
      <c r="S147" s="160"/>
      <c r="T147" s="161"/>
      <c r="AT147" s="156" t="s">
        <v>139</v>
      </c>
      <c r="AU147" s="156" t="s">
        <v>82</v>
      </c>
      <c r="AV147" s="14" t="s">
        <v>82</v>
      </c>
      <c r="AW147" s="14" t="s">
        <v>34</v>
      </c>
      <c r="AX147" s="14" t="s">
        <v>72</v>
      </c>
      <c r="AY147" s="156" t="s">
        <v>133</v>
      </c>
    </row>
    <row r="148" spans="2:51" s="13" customFormat="1" ht="12">
      <c r="B148" s="148"/>
      <c r="D148" s="149" t="s">
        <v>139</v>
      </c>
      <c r="E148" s="150" t="s">
        <v>3</v>
      </c>
      <c r="F148" s="151">
        <v>103</v>
      </c>
      <c r="H148" s="150" t="s">
        <v>3</v>
      </c>
      <c r="L148" s="148"/>
      <c r="M148" s="152"/>
      <c r="N148" s="153"/>
      <c r="O148" s="153"/>
      <c r="P148" s="153"/>
      <c r="Q148" s="153"/>
      <c r="R148" s="153"/>
      <c r="S148" s="153"/>
      <c r="T148" s="154"/>
      <c r="AT148" s="150" t="s">
        <v>139</v>
      </c>
      <c r="AU148" s="150" t="s">
        <v>82</v>
      </c>
      <c r="AV148" s="13" t="s">
        <v>80</v>
      </c>
      <c r="AW148" s="13" t="s">
        <v>34</v>
      </c>
      <c r="AX148" s="13" t="s">
        <v>72</v>
      </c>
      <c r="AY148" s="150" t="s">
        <v>133</v>
      </c>
    </row>
    <row r="149" spans="2:51" s="14" customFormat="1" ht="12">
      <c r="B149" s="155"/>
      <c r="D149" s="149" t="s">
        <v>139</v>
      </c>
      <c r="E149" s="156" t="s">
        <v>3</v>
      </c>
      <c r="F149" s="157" t="s">
        <v>977</v>
      </c>
      <c r="H149" s="158">
        <f>(1.35+0.45)*1.8</f>
        <v>3.24</v>
      </c>
      <c r="L149" s="155"/>
      <c r="M149" s="159"/>
      <c r="N149" s="160"/>
      <c r="O149" s="160"/>
      <c r="P149" s="160"/>
      <c r="Q149" s="160"/>
      <c r="R149" s="160"/>
      <c r="S149" s="160"/>
      <c r="T149" s="161"/>
      <c r="AT149" s="156" t="s">
        <v>139</v>
      </c>
      <c r="AU149" s="156" t="s">
        <v>82</v>
      </c>
      <c r="AV149" s="14" t="s">
        <v>82</v>
      </c>
      <c r="AW149" s="14" t="s">
        <v>34</v>
      </c>
      <c r="AX149" s="14" t="s">
        <v>72</v>
      </c>
      <c r="AY149" s="156" t="s">
        <v>133</v>
      </c>
    </row>
    <row r="150" spans="2:51" s="15" customFormat="1" ht="12">
      <c r="B150" s="165"/>
      <c r="D150" s="149" t="s">
        <v>139</v>
      </c>
      <c r="E150" s="166" t="s">
        <v>3</v>
      </c>
      <c r="F150" s="167" t="s">
        <v>143</v>
      </c>
      <c r="H150" s="168">
        <f>H145+H147+H149</f>
        <v>12.339</v>
      </c>
      <c r="L150" s="165"/>
      <c r="M150" s="169"/>
      <c r="N150" s="170"/>
      <c r="O150" s="170"/>
      <c r="P150" s="170"/>
      <c r="Q150" s="170"/>
      <c r="R150" s="170"/>
      <c r="S150" s="170"/>
      <c r="T150" s="171"/>
      <c r="AT150" s="166" t="s">
        <v>139</v>
      </c>
      <c r="AU150" s="166" t="s">
        <v>82</v>
      </c>
      <c r="AV150" s="15" t="s">
        <v>138</v>
      </c>
      <c r="AW150" s="15" t="s">
        <v>34</v>
      </c>
      <c r="AX150" s="15" t="s">
        <v>80</v>
      </c>
      <c r="AY150" s="166" t="s">
        <v>133</v>
      </c>
    </row>
    <row r="151" spans="2:63" s="12" customFormat="1" ht="22.9" customHeight="1">
      <c r="B151" s="123"/>
      <c r="D151" s="124" t="s">
        <v>71</v>
      </c>
      <c r="E151" s="133" t="s">
        <v>187</v>
      </c>
      <c r="F151" s="133" t="s">
        <v>188</v>
      </c>
      <c r="J151" s="134">
        <f>BK151</f>
        <v>0</v>
      </c>
      <c r="L151" s="123"/>
      <c r="M151" s="127"/>
      <c r="N151" s="128"/>
      <c r="O151" s="128"/>
      <c r="P151" s="129">
        <f>SUM(P152:P163)</f>
        <v>5.953414961999999</v>
      </c>
      <c r="Q151" s="128"/>
      <c r="R151" s="129">
        <f>SUM(R152:R163)</f>
        <v>0</v>
      </c>
      <c r="S151" s="128"/>
      <c r="T151" s="130">
        <f>SUM(T152:T163)</f>
        <v>0</v>
      </c>
      <c r="AR151" s="124" t="s">
        <v>80</v>
      </c>
      <c r="AT151" s="131" t="s">
        <v>71</v>
      </c>
      <c r="AU151" s="131" t="s">
        <v>80</v>
      </c>
      <c r="AY151" s="124" t="s">
        <v>133</v>
      </c>
      <c r="BK151" s="132">
        <f>SUM(BK152:BK163)</f>
        <v>0</v>
      </c>
    </row>
    <row r="152" spans="1:65" s="2" customFormat="1" ht="37.9" customHeight="1">
      <c r="A152" s="30"/>
      <c r="B152" s="135"/>
      <c r="C152" s="136">
        <v>17</v>
      </c>
      <c r="D152" s="136" t="s">
        <v>136</v>
      </c>
      <c r="E152" s="137" t="s">
        <v>189</v>
      </c>
      <c r="F152" s="138" t="s">
        <v>190</v>
      </c>
      <c r="G152" s="139" t="s">
        <v>144</v>
      </c>
      <c r="H152" s="140">
        <f>H136*1.9+H142*0.02+H139*0.15*1.9</f>
        <v>1.4924579999999998</v>
      </c>
      <c r="I152" s="141"/>
      <c r="J152" s="141">
        <f>ROUND(I152*H152,2)</f>
        <v>0</v>
      </c>
      <c r="K152" s="138" t="s">
        <v>141</v>
      </c>
      <c r="L152" s="31"/>
      <c r="M152" s="142" t="s">
        <v>3</v>
      </c>
      <c r="N152" s="143" t="s">
        <v>43</v>
      </c>
      <c r="O152" s="144">
        <v>2.42</v>
      </c>
      <c r="P152" s="144">
        <f>O152*H152</f>
        <v>3.6117483599999995</v>
      </c>
      <c r="Q152" s="144">
        <v>0</v>
      </c>
      <c r="R152" s="144">
        <f>Q152*H152</f>
        <v>0</v>
      </c>
      <c r="S152" s="144">
        <v>0</v>
      </c>
      <c r="T152" s="145">
        <f>S152*H152</f>
        <v>0</v>
      </c>
      <c r="U152" s="30"/>
      <c r="V152" s="30"/>
      <c r="W152" s="30"/>
      <c r="X152" s="30"/>
      <c r="Y152" s="30"/>
      <c r="Z152" s="30"/>
      <c r="AA152" s="30"/>
      <c r="AB152" s="30"/>
      <c r="AC152" s="30"/>
      <c r="AD152" s="30"/>
      <c r="AE152" s="30"/>
      <c r="AR152" s="146" t="s">
        <v>138</v>
      </c>
      <c r="AT152" s="146" t="s">
        <v>136</v>
      </c>
      <c r="AU152" s="146" t="s">
        <v>82</v>
      </c>
      <c r="AY152" s="18" t="s">
        <v>133</v>
      </c>
      <c r="BE152" s="147">
        <f>IF(N152="základní",J152,0)</f>
        <v>0</v>
      </c>
      <c r="BF152" s="147">
        <f>IF(N152="snížená",J152,0)</f>
        <v>0</v>
      </c>
      <c r="BG152" s="147">
        <f>IF(N152="zákl. přenesená",J152,0)</f>
        <v>0</v>
      </c>
      <c r="BH152" s="147">
        <f>IF(N152="sníž. přenesená",J152,0)</f>
        <v>0</v>
      </c>
      <c r="BI152" s="147">
        <f>IF(N152="nulová",J152,0)</f>
        <v>0</v>
      </c>
      <c r="BJ152" s="18" t="s">
        <v>80</v>
      </c>
      <c r="BK152" s="147">
        <f>ROUND(I152*H152,2)</f>
        <v>0</v>
      </c>
      <c r="BL152" s="18" t="s">
        <v>138</v>
      </c>
      <c r="BM152" s="146" t="s">
        <v>191</v>
      </c>
    </row>
    <row r="153" spans="1:47" s="2" customFormat="1" ht="146.25">
      <c r="A153" s="30"/>
      <c r="B153" s="31"/>
      <c r="C153" s="30"/>
      <c r="D153" s="149" t="s">
        <v>142</v>
      </c>
      <c r="E153" s="30"/>
      <c r="F153" s="162" t="s">
        <v>192</v>
      </c>
      <c r="G153" s="30"/>
      <c r="H153" s="30"/>
      <c r="I153" s="30"/>
      <c r="J153" s="30"/>
      <c r="K153" s="30"/>
      <c r="L153" s="31"/>
      <c r="M153" s="163"/>
      <c r="N153" s="164"/>
      <c r="O153" s="51"/>
      <c r="P153" s="51"/>
      <c r="Q153" s="51"/>
      <c r="R153" s="51"/>
      <c r="S153" s="51"/>
      <c r="T153" s="52"/>
      <c r="U153" s="30"/>
      <c r="V153" s="30"/>
      <c r="W153" s="30"/>
      <c r="X153" s="30"/>
      <c r="Y153" s="30"/>
      <c r="Z153" s="30"/>
      <c r="AA153" s="30"/>
      <c r="AB153" s="30"/>
      <c r="AC153" s="30"/>
      <c r="AD153" s="30"/>
      <c r="AE153" s="30"/>
      <c r="AT153" s="18" t="s">
        <v>142</v>
      </c>
      <c r="AU153" s="18" t="s">
        <v>82</v>
      </c>
    </row>
    <row r="154" spans="1:65" s="2" customFormat="1" ht="62.65" customHeight="1">
      <c r="A154" s="30"/>
      <c r="B154" s="135"/>
      <c r="C154" s="136">
        <v>18</v>
      </c>
      <c r="D154" s="136" t="s">
        <v>136</v>
      </c>
      <c r="E154" s="137" t="s">
        <v>193</v>
      </c>
      <c r="F154" s="138" t="s">
        <v>194</v>
      </c>
      <c r="G154" s="139" t="s">
        <v>144</v>
      </c>
      <c r="H154" s="140">
        <f>H156</f>
        <v>7.462289999999999</v>
      </c>
      <c r="I154" s="141"/>
      <c r="J154" s="141">
        <f>ROUND(I154*H154,2)</f>
        <v>0</v>
      </c>
      <c r="K154" s="138" t="s">
        <v>141</v>
      </c>
      <c r="L154" s="31"/>
      <c r="M154" s="142" t="s">
        <v>3</v>
      </c>
      <c r="N154" s="143" t="s">
        <v>43</v>
      </c>
      <c r="O154" s="144">
        <v>0.26</v>
      </c>
      <c r="P154" s="144">
        <f>O154*H154</f>
        <v>1.9401954</v>
      </c>
      <c r="Q154" s="144">
        <v>0</v>
      </c>
      <c r="R154" s="144">
        <f>Q154*H154</f>
        <v>0</v>
      </c>
      <c r="S154" s="144">
        <v>0</v>
      </c>
      <c r="T154" s="145">
        <f>S154*H154</f>
        <v>0</v>
      </c>
      <c r="U154" s="30"/>
      <c r="V154" s="30"/>
      <c r="W154" s="30"/>
      <c r="X154" s="30"/>
      <c r="Y154" s="30"/>
      <c r="Z154" s="30"/>
      <c r="AA154" s="30"/>
      <c r="AB154" s="30"/>
      <c r="AC154" s="30"/>
      <c r="AD154" s="30"/>
      <c r="AE154" s="30"/>
      <c r="AR154" s="146" t="s">
        <v>138</v>
      </c>
      <c r="AT154" s="146" t="s">
        <v>136</v>
      </c>
      <c r="AU154" s="146" t="s">
        <v>82</v>
      </c>
      <c r="AY154" s="18" t="s">
        <v>133</v>
      </c>
      <c r="BE154" s="147">
        <f>IF(N154="základní",J154,0)</f>
        <v>0</v>
      </c>
      <c r="BF154" s="147">
        <f>IF(N154="snížená",J154,0)</f>
        <v>0</v>
      </c>
      <c r="BG154" s="147">
        <f>IF(N154="zákl. přenesená",J154,0)</f>
        <v>0</v>
      </c>
      <c r="BH154" s="147">
        <f>IF(N154="sníž. přenesená",J154,0)</f>
        <v>0</v>
      </c>
      <c r="BI154" s="147">
        <f>IF(N154="nulová",J154,0)</f>
        <v>0</v>
      </c>
      <c r="BJ154" s="18" t="s">
        <v>80</v>
      </c>
      <c r="BK154" s="147">
        <f>ROUND(I154*H154,2)</f>
        <v>0</v>
      </c>
      <c r="BL154" s="18" t="s">
        <v>138</v>
      </c>
      <c r="BM154" s="146" t="s">
        <v>195</v>
      </c>
    </row>
    <row r="155" spans="1:47" s="2" customFormat="1" ht="146.25">
      <c r="A155" s="30"/>
      <c r="B155" s="31"/>
      <c r="C155" s="30"/>
      <c r="D155" s="149" t="s">
        <v>142</v>
      </c>
      <c r="E155" s="30"/>
      <c r="F155" s="162" t="s">
        <v>192</v>
      </c>
      <c r="G155" s="30"/>
      <c r="H155" s="30"/>
      <c r="I155" s="30"/>
      <c r="J155" s="30"/>
      <c r="K155" s="30"/>
      <c r="L155" s="31"/>
      <c r="M155" s="163"/>
      <c r="N155" s="164"/>
      <c r="O155" s="51"/>
      <c r="P155" s="51"/>
      <c r="Q155" s="51"/>
      <c r="R155" s="51"/>
      <c r="S155" s="51"/>
      <c r="T155" s="52"/>
      <c r="U155" s="30"/>
      <c r="V155" s="30"/>
      <c r="W155" s="30"/>
      <c r="X155" s="30"/>
      <c r="Y155" s="30"/>
      <c r="Z155" s="30"/>
      <c r="AA155" s="30"/>
      <c r="AB155" s="30"/>
      <c r="AC155" s="30"/>
      <c r="AD155" s="30"/>
      <c r="AE155" s="30"/>
      <c r="AT155" s="18" t="s">
        <v>142</v>
      </c>
      <c r="AU155" s="18" t="s">
        <v>82</v>
      </c>
    </row>
    <row r="156" spans="2:51" s="14" customFormat="1" ht="12">
      <c r="B156" s="155"/>
      <c r="D156" s="149" t="s">
        <v>139</v>
      </c>
      <c r="F156" s="157" t="s">
        <v>978</v>
      </c>
      <c r="H156" s="158">
        <f>H152*5</f>
        <v>7.462289999999999</v>
      </c>
      <c r="L156" s="155"/>
      <c r="M156" s="159"/>
      <c r="N156" s="160"/>
      <c r="O156" s="160"/>
      <c r="P156" s="160"/>
      <c r="Q156" s="160"/>
      <c r="R156" s="160"/>
      <c r="S156" s="160"/>
      <c r="T156" s="161"/>
      <c r="AT156" s="156" t="s">
        <v>139</v>
      </c>
      <c r="AU156" s="156" t="s">
        <v>82</v>
      </c>
      <c r="AV156" s="14" t="s">
        <v>82</v>
      </c>
      <c r="AW156" s="14" t="s">
        <v>4</v>
      </c>
      <c r="AX156" s="14" t="s">
        <v>80</v>
      </c>
      <c r="AY156" s="156" t="s">
        <v>133</v>
      </c>
    </row>
    <row r="157" spans="1:65" s="2" customFormat="1" ht="24.2" customHeight="1">
      <c r="A157" s="30"/>
      <c r="B157" s="135"/>
      <c r="C157" s="136">
        <v>19</v>
      </c>
      <c r="D157" s="136" t="s">
        <v>136</v>
      </c>
      <c r="E157" s="137" t="s">
        <v>196</v>
      </c>
      <c r="F157" s="138" t="s">
        <v>197</v>
      </c>
      <c r="G157" s="139" t="s">
        <v>144</v>
      </c>
      <c r="H157" s="140">
        <f>H152</f>
        <v>1.4924579999999998</v>
      </c>
      <c r="I157" s="141"/>
      <c r="J157" s="141">
        <f>ROUND(I157*H157,2)</f>
        <v>0</v>
      </c>
      <c r="K157" s="138" t="s">
        <v>141</v>
      </c>
      <c r="L157" s="31"/>
      <c r="M157" s="142" t="s">
        <v>3</v>
      </c>
      <c r="N157" s="143" t="s">
        <v>43</v>
      </c>
      <c r="O157" s="144">
        <v>0.125</v>
      </c>
      <c r="P157" s="144">
        <f>O157*H157</f>
        <v>0.18655724999999998</v>
      </c>
      <c r="Q157" s="144">
        <v>0</v>
      </c>
      <c r="R157" s="144">
        <f>Q157*H157</f>
        <v>0</v>
      </c>
      <c r="S157" s="144">
        <v>0</v>
      </c>
      <c r="T157" s="145">
        <f>S157*H157</f>
        <v>0</v>
      </c>
      <c r="U157" s="30"/>
      <c r="V157" s="30"/>
      <c r="W157" s="30"/>
      <c r="X157" s="30"/>
      <c r="Y157" s="30"/>
      <c r="Z157" s="30"/>
      <c r="AA157" s="30"/>
      <c r="AB157" s="30"/>
      <c r="AC157" s="30"/>
      <c r="AD157" s="30"/>
      <c r="AE157" s="30"/>
      <c r="AR157" s="146" t="s">
        <v>138</v>
      </c>
      <c r="AT157" s="146" t="s">
        <v>136</v>
      </c>
      <c r="AU157" s="146" t="s">
        <v>82</v>
      </c>
      <c r="AY157" s="18" t="s">
        <v>133</v>
      </c>
      <c r="BE157" s="147">
        <f>IF(N157="základní",J157,0)</f>
        <v>0</v>
      </c>
      <c r="BF157" s="147">
        <f>IF(N157="snížená",J157,0)</f>
        <v>0</v>
      </c>
      <c r="BG157" s="147">
        <f>IF(N157="zákl. přenesená",J157,0)</f>
        <v>0</v>
      </c>
      <c r="BH157" s="147">
        <f>IF(N157="sníž. přenesená",J157,0)</f>
        <v>0</v>
      </c>
      <c r="BI157" s="147">
        <f>IF(N157="nulová",J157,0)</f>
        <v>0</v>
      </c>
      <c r="BJ157" s="18" t="s">
        <v>80</v>
      </c>
      <c r="BK157" s="147">
        <f>ROUND(I157*H157,2)</f>
        <v>0</v>
      </c>
      <c r="BL157" s="18" t="s">
        <v>138</v>
      </c>
      <c r="BM157" s="146" t="s">
        <v>198</v>
      </c>
    </row>
    <row r="158" spans="1:47" s="2" customFormat="1" ht="97.5">
      <c r="A158" s="30"/>
      <c r="B158" s="31"/>
      <c r="C158" s="30"/>
      <c r="D158" s="149" t="s">
        <v>142</v>
      </c>
      <c r="E158" s="30"/>
      <c r="F158" s="162" t="s">
        <v>199</v>
      </c>
      <c r="G158" s="30"/>
      <c r="H158" s="30"/>
      <c r="I158" s="30"/>
      <c r="J158" s="30"/>
      <c r="K158" s="30"/>
      <c r="L158" s="31"/>
      <c r="M158" s="163"/>
      <c r="N158" s="164"/>
      <c r="O158" s="51"/>
      <c r="P158" s="51"/>
      <c r="Q158" s="51"/>
      <c r="R158" s="51"/>
      <c r="S158" s="51"/>
      <c r="T158" s="52"/>
      <c r="U158" s="30"/>
      <c r="V158" s="30"/>
      <c r="W158" s="30"/>
      <c r="X158" s="30"/>
      <c r="Y158" s="30"/>
      <c r="Z158" s="30"/>
      <c r="AA158" s="30"/>
      <c r="AB158" s="30"/>
      <c r="AC158" s="30"/>
      <c r="AD158" s="30"/>
      <c r="AE158" s="30"/>
      <c r="AT158" s="18" t="s">
        <v>142</v>
      </c>
      <c r="AU158" s="18" t="s">
        <v>82</v>
      </c>
    </row>
    <row r="159" spans="1:65" s="2" customFormat="1" ht="37.9" customHeight="1">
      <c r="A159" s="30"/>
      <c r="B159" s="135"/>
      <c r="C159" s="136">
        <v>20</v>
      </c>
      <c r="D159" s="136" t="s">
        <v>136</v>
      </c>
      <c r="E159" s="137" t="s">
        <v>200</v>
      </c>
      <c r="F159" s="138" t="s">
        <v>201</v>
      </c>
      <c r="G159" s="139" t="s">
        <v>144</v>
      </c>
      <c r="H159" s="140">
        <f>H161</f>
        <v>35.818991999999994</v>
      </c>
      <c r="I159" s="141"/>
      <c r="J159" s="141">
        <f>ROUND(I159*H159,2)</f>
        <v>0</v>
      </c>
      <c r="K159" s="138" t="s">
        <v>141</v>
      </c>
      <c r="L159" s="31"/>
      <c r="M159" s="142" t="s">
        <v>3</v>
      </c>
      <c r="N159" s="143" t="s">
        <v>43</v>
      </c>
      <c r="O159" s="144">
        <v>0.006</v>
      </c>
      <c r="P159" s="144">
        <f>O159*H159</f>
        <v>0.21491395199999996</v>
      </c>
      <c r="Q159" s="144">
        <v>0</v>
      </c>
      <c r="R159" s="144">
        <f>Q159*H159</f>
        <v>0</v>
      </c>
      <c r="S159" s="144">
        <v>0</v>
      </c>
      <c r="T159" s="145">
        <f>S159*H159</f>
        <v>0</v>
      </c>
      <c r="U159" s="30"/>
      <c r="V159" s="30"/>
      <c r="W159" s="30"/>
      <c r="X159" s="30"/>
      <c r="Y159" s="30"/>
      <c r="Z159" s="30"/>
      <c r="AA159" s="30"/>
      <c r="AB159" s="30"/>
      <c r="AC159" s="30"/>
      <c r="AD159" s="30"/>
      <c r="AE159" s="30"/>
      <c r="AR159" s="146" t="s">
        <v>138</v>
      </c>
      <c r="AT159" s="146" t="s">
        <v>136</v>
      </c>
      <c r="AU159" s="146" t="s">
        <v>82</v>
      </c>
      <c r="AY159" s="18" t="s">
        <v>133</v>
      </c>
      <c r="BE159" s="147">
        <f>IF(N159="základní",J159,0)</f>
        <v>0</v>
      </c>
      <c r="BF159" s="147">
        <f>IF(N159="snížená",J159,0)</f>
        <v>0</v>
      </c>
      <c r="BG159" s="147">
        <f>IF(N159="zákl. přenesená",J159,0)</f>
        <v>0</v>
      </c>
      <c r="BH159" s="147">
        <f>IF(N159="sníž. přenesená",J159,0)</f>
        <v>0</v>
      </c>
      <c r="BI159" s="147">
        <f>IF(N159="nulová",J159,0)</f>
        <v>0</v>
      </c>
      <c r="BJ159" s="18" t="s">
        <v>80</v>
      </c>
      <c r="BK159" s="147">
        <f>ROUND(I159*H159,2)</f>
        <v>0</v>
      </c>
      <c r="BL159" s="18" t="s">
        <v>138</v>
      </c>
      <c r="BM159" s="146" t="s">
        <v>202</v>
      </c>
    </row>
    <row r="160" spans="1:47" s="2" customFormat="1" ht="97.5">
      <c r="A160" s="30"/>
      <c r="B160" s="31"/>
      <c r="C160" s="30"/>
      <c r="D160" s="149" t="s">
        <v>142</v>
      </c>
      <c r="E160" s="30"/>
      <c r="F160" s="162" t="s">
        <v>199</v>
      </c>
      <c r="G160" s="30"/>
      <c r="H160" s="30"/>
      <c r="I160" s="30"/>
      <c r="J160" s="30"/>
      <c r="K160" s="30"/>
      <c r="L160" s="31"/>
      <c r="M160" s="163"/>
      <c r="N160" s="164"/>
      <c r="O160" s="51"/>
      <c r="P160" s="51"/>
      <c r="Q160" s="51"/>
      <c r="R160" s="51"/>
      <c r="S160" s="51"/>
      <c r="T160" s="52"/>
      <c r="U160" s="30"/>
      <c r="V160" s="30"/>
      <c r="W160" s="30"/>
      <c r="X160" s="30"/>
      <c r="Y160" s="30"/>
      <c r="Z160" s="30"/>
      <c r="AA160" s="30"/>
      <c r="AB160" s="30"/>
      <c r="AC160" s="30"/>
      <c r="AD160" s="30"/>
      <c r="AE160" s="30"/>
      <c r="AT160" s="18" t="s">
        <v>142</v>
      </c>
      <c r="AU160" s="18" t="s">
        <v>82</v>
      </c>
    </row>
    <row r="161" spans="2:51" s="14" customFormat="1" ht="12">
      <c r="B161" s="155"/>
      <c r="D161" s="149" t="s">
        <v>139</v>
      </c>
      <c r="F161" s="157" t="s">
        <v>979</v>
      </c>
      <c r="H161" s="158">
        <f>H152*24</f>
        <v>35.818991999999994</v>
      </c>
      <c r="L161" s="155"/>
      <c r="M161" s="159"/>
      <c r="N161" s="160"/>
      <c r="O161" s="160"/>
      <c r="P161" s="160"/>
      <c r="Q161" s="160"/>
      <c r="R161" s="160"/>
      <c r="S161" s="160"/>
      <c r="T161" s="161"/>
      <c r="AT161" s="156" t="s">
        <v>139</v>
      </c>
      <c r="AU161" s="156" t="s">
        <v>82</v>
      </c>
      <c r="AV161" s="14" t="s">
        <v>82</v>
      </c>
      <c r="AW161" s="14" t="s">
        <v>4</v>
      </c>
      <c r="AX161" s="14" t="s">
        <v>80</v>
      </c>
      <c r="AY161" s="156" t="s">
        <v>133</v>
      </c>
    </row>
    <row r="162" spans="1:65" s="2" customFormat="1" ht="37.9" customHeight="1">
      <c r="A162" s="30"/>
      <c r="B162" s="135"/>
      <c r="C162" s="136">
        <v>21</v>
      </c>
      <c r="D162" s="136" t="s">
        <v>136</v>
      </c>
      <c r="E162" s="137" t="s">
        <v>203</v>
      </c>
      <c r="F162" s="138" t="s">
        <v>204</v>
      </c>
      <c r="G162" s="139" t="s">
        <v>144</v>
      </c>
      <c r="H162" s="140">
        <f>H152</f>
        <v>1.4924579999999998</v>
      </c>
      <c r="I162" s="141"/>
      <c r="J162" s="141">
        <f>ROUND(I162*H162,2)</f>
        <v>0</v>
      </c>
      <c r="K162" s="138" t="s">
        <v>141</v>
      </c>
      <c r="L162" s="31"/>
      <c r="M162" s="142" t="s">
        <v>3</v>
      </c>
      <c r="N162" s="143" t="s">
        <v>43</v>
      </c>
      <c r="O162" s="144">
        <v>0</v>
      </c>
      <c r="P162" s="144">
        <f>O162*H162</f>
        <v>0</v>
      </c>
      <c r="Q162" s="144">
        <v>0</v>
      </c>
      <c r="R162" s="144">
        <f>Q162*H162</f>
        <v>0</v>
      </c>
      <c r="S162" s="144">
        <v>0</v>
      </c>
      <c r="T162" s="145">
        <f>S162*H162</f>
        <v>0</v>
      </c>
      <c r="U162" s="30"/>
      <c r="V162" s="30"/>
      <c r="W162" s="30"/>
      <c r="X162" s="30"/>
      <c r="Y162" s="30"/>
      <c r="Z162" s="30"/>
      <c r="AA162" s="30"/>
      <c r="AB162" s="30"/>
      <c r="AC162" s="30"/>
      <c r="AD162" s="30"/>
      <c r="AE162" s="30"/>
      <c r="AR162" s="146" t="s">
        <v>138</v>
      </c>
      <c r="AT162" s="146" t="s">
        <v>136</v>
      </c>
      <c r="AU162" s="146" t="s">
        <v>82</v>
      </c>
      <c r="AY162" s="18" t="s">
        <v>133</v>
      </c>
      <c r="BE162" s="147">
        <f>IF(N162="základní",J162,0)</f>
        <v>0</v>
      </c>
      <c r="BF162" s="147">
        <f>IF(N162="snížená",J162,0)</f>
        <v>0</v>
      </c>
      <c r="BG162" s="147">
        <f>IF(N162="zákl. přenesená",J162,0)</f>
        <v>0</v>
      </c>
      <c r="BH162" s="147">
        <f>IF(N162="sníž. přenesená",J162,0)</f>
        <v>0</v>
      </c>
      <c r="BI162" s="147">
        <f>IF(N162="nulová",J162,0)</f>
        <v>0</v>
      </c>
      <c r="BJ162" s="18" t="s">
        <v>80</v>
      </c>
      <c r="BK162" s="147">
        <f>ROUND(I162*H162,2)</f>
        <v>0</v>
      </c>
      <c r="BL162" s="18" t="s">
        <v>138</v>
      </c>
      <c r="BM162" s="146" t="s">
        <v>205</v>
      </c>
    </row>
    <row r="163" spans="1:47" s="2" customFormat="1" ht="97.5">
      <c r="A163" s="30"/>
      <c r="B163" s="31"/>
      <c r="C163" s="30"/>
      <c r="D163" s="149" t="s">
        <v>142</v>
      </c>
      <c r="E163" s="30"/>
      <c r="F163" s="162" t="s">
        <v>206</v>
      </c>
      <c r="G163" s="30"/>
      <c r="H163" s="30"/>
      <c r="I163" s="30"/>
      <c r="J163" s="30"/>
      <c r="K163" s="30"/>
      <c r="L163" s="31"/>
      <c r="M163" s="163"/>
      <c r="N163" s="164"/>
      <c r="O163" s="51"/>
      <c r="P163" s="51"/>
      <c r="Q163" s="51"/>
      <c r="R163" s="51"/>
      <c r="S163" s="51"/>
      <c r="T163" s="52"/>
      <c r="U163" s="30"/>
      <c r="V163" s="30"/>
      <c r="W163" s="30"/>
      <c r="X163" s="30"/>
      <c r="Y163" s="30"/>
      <c r="Z163" s="30"/>
      <c r="AA163" s="30"/>
      <c r="AB163" s="30"/>
      <c r="AC163" s="30"/>
      <c r="AD163" s="30"/>
      <c r="AE163" s="30"/>
      <c r="AT163" s="18" t="s">
        <v>142</v>
      </c>
      <c r="AU163" s="18" t="s">
        <v>82</v>
      </c>
    </row>
    <row r="164" spans="2:63" s="12" customFormat="1" ht="22.9" customHeight="1">
      <c r="B164" s="123"/>
      <c r="D164" s="124" t="s">
        <v>71</v>
      </c>
      <c r="E164" s="133" t="s">
        <v>207</v>
      </c>
      <c r="F164" s="133" t="s">
        <v>208</v>
      </c>
      <c r="J164" s="134">
        <f>BK164</f>
        <v>0</v>
      </c>
      <c r="L164" s="123"/>
      <c r="M164" s="127"/>
      <c r="N164" s="128"/>
      <c r="O164" s="128"/>
      <c r="P164" s="129">
        <f>SUM(P165:P166)</f>
        <v>6.5851999999999995</v>
      </c>
      <c r="Q164" s="128"/>
      <c r="R164" s="129">
        <f>SUM(R165:R166)</f>
        <v>0</v>
      </c>
      <c r="S164" s="128"/>
      <c r="T164" s="130">
        <f>SUM(T165:T166)</f>
        <v>0</v>
      </c>
      <c r="AR164" s="124" t="s">
        <v>80</v>
      </c>
      <c r="AT164" s="131" t="s">
        <v>71</v>
      </c>
      <c r="AU164" s="131" t="s">
        <v>80</v>
      </c>
      <c r="AY164" s="124" t="s">
        <v>133</v>
      </c>
      <c r="BK164" s="132">
        <f>SUM(BK165:BK166)</f>
        <v>0</v>
      </c>
    </row>
    <row r="165" spans="1:65" s="2" customFormat="1" ht="49.15" customHeight="1">
      <c r="A165" s="30"/>
      <c r="B165" s="135"/>
      <c r="C165" s="136">
        <v>22</v>
      </c>
      <c r="D165" s="136" t="s">
        <v>136</v>
      </c>
      <c r="E165" s="137" t="s">
        <v>209</v>
      </c>
      <c r="F165" s="138" t="s">
        <v>210</v>
      </c>
      <c r="G165" s="139" t="s">
        <v>144</v>
      </c>
      <c r="H165" s="140">
        <v>1.63</v>
      </c>
      <c r="I165" s="141"/>
      <c r="J165" s="141">
        <f>ROUND(I165*H165,2)</f>
        <v>0</v>
      </c>
      <c r="K165" s="138" t="s">
        <v>141</v>
      </c>
      <c r="L165" s="31"/>
      <c r="M165" s="142" t="s">
        <v>3</v>
      </c>
      <c r="N165" s="143" t="s">
        <v>43</v>
      </c>
      <c r="O165" s="144">
        <v>4.04</v>
      </c>
      <c r="P165" s="144">
        <f>O165*H165</f>
        <v>6.5851999999999995</v>
      </c>
      <c r="Q165" s="144">
        <v>0</v>
      </c>
      <c r="R165" s="144">
        <f>Q165*H165</f>
        <v>0</v>
      </c>
      <c r="S165" s="144">
        <v>0</v>
      </c>
      <c r="T165" s="145">
        <f>S165*H165</f>
        <v>0</v>
      </c>
      <c r="U165" s="30"/>
      <c r="V165" s="30"/>
      <c r="W165" s="30"/>
      <c r="X165" s="30"/>
      <c r="Y165" s="30"/>
      <c r="Z165" s="30"/>
      <c r="AA165" s="30"/>
      <c r="AB165" s="30"/>
      <c r="AC165" s="30"/>
      <c r="AD165" s="30"/>
      <c r="AE165" s="30"/>
      <c r="AR165" s="146" t="s">
        <v>138</v>
      </c>
      <c r="AT165" s="146" t="s">
        <v>136</v>
      </c>
      <c r="AU165" s="146" t="s">
        <v>82</v>
      </c>
      <c r="AY165" s="18" t="s">
        <v>133</v>
      </c>
      <c r="BE165" s="147">
        <f>IF(N165="základní",J165,0)</f>
        <v>0</v>
      </c>
      <c r="BF165" s="147">
        <f>IF(N165="snížená",J165,0)</f>
        <v>0</v>
      </c>
      <c r="BG165" s="147">
        <f>IF(N165="zákl. přenesená",J165,0)</f>
        <v>0</v>
      </c>
      <c r="BH165" s="147">
        <f>IF(N165="sníž. přenesená",J165,0)</f>
        <v>0</v>
      </c>
      <c r="BI165" s="147">
        <f>IF(N165="nulová",J165,0)</f>
        <v>0</v>
      </c>
      <c r="BJ165" s="18" t="s">
        <v>80</v>
      </c>
      <c r="BK165" s="147">
        <f>ROUND(I165*H165,2)</f>
        <v>0</v>
      </c>
      <c r="BL165" s="18" t="s">
        <v>138</v>
      </c>
      <c r="BM165" s="146" t="s">
        <v>211</v>
      </c>
    </row>
    <row r="166" spans="1:47" s="2" customFormat="1" ht="87.75">
      <c r="A166" s="30"/>
      <c r="B166" s="31"/>
      <c r="C166" s="30"/>
      <c r="D166" s="149" t="s">
        <v>142</v>
      </c>
      <c r="E166" s="30"/>
      <c r="F166" s="162" t="s">
        <v>212</v>
      </c>
      <c r="G166" s="30"/>
      <c r="H166" s="30"/>
      <c r="I166" s="30"/>
      <c r="J166" s="30"/>
      <c r="K166" s="30"/>
      <c r="L166" s="31"/>
      <c r="M166" s="163"/>
      <c r="N166" s="164"/>
      <c r="O166" s="51"/>
      <c r="P166" s="51"/>
      <c r="Q166" s="51"/>
      <c r="R166" s="51"/>
      <c r="S166" s="51"/>
      <c r="T166" s="52"/>
      <c r="U166" s="30"/>
      <c r="V166" s="30"/>
      <c r="W166" s="30"/>
      <c r="X166" s="30"/>
      <c r="Y166" s="30"/>
      <c r="Z166" s="30"/>
      <c r="AA166" s="30"/>
      <c r="AB166" s="30"/>
      <c r="AC166" s="30"/>
      <c r="AD166" s="30"/>
      <c r="AE166" s="30"/>
      <c r="AT166" s="18" t="s">
        <v>142</v>
      </c>
      <c r="AU166" s="18" t="s">
        <v>82</v>
      </c>
    </row>
    <row r="167" spans="2:63" s="12" customFormat="1" ht="25.9" customHeight="1">
      <c r="B167" s="123"/>
      <c r="D167" s="124" t="s">
        <v>71</v>
      </c>
      <c r="E167" s="125" t="s">
        <v>213</v>
      </c>
      <c r="F167" s="125" t="s">
        <v>214</v>
      </c>
      <c r="J167" s="126">
        <f>J168+J186+J210+J251+J285+J288+J203</f>
        <v>0</v>
      </c>
      <c r="L167" s="123"/>
      <c r="M167" s="127"/>
      <c r="N167" s="128"/>
      <c r="O167" s="128"/>
      <c r="P167" s="129" t="e">
        <f>P168+#REF!+P186+#REF!+#REF!+#REF!+P210+#REF!+P251+P285+P288+#REF!</f>
        <v>#REF!</v>
      </c>
      <c r="Q167" s="128"/>
      <c r="R167" s="129" t="e">
        <f>R168+#REF!+R186+#REF!+#REF!+#REF!+R210+#REF!+R251+R285+R288+#REF!</f>
        <v>#REF!</v>
      </c>
      <c r="S167" s="128"/>
      <c r="T167" s="130" t="e">
        <f>T168+#REF!+T186+#REF!+#REF!+#REF!+T210+#REF!+T251+T285+T288+#REF!</f>
        <v>#REF!</v>
      </c>
      <c r="AR167" s="124" t="s">
        <v>82</v>
      </c>
      <c r="AT167" s="131" t="s">
        <v>71</v>
      </c>
      <c r="AU167" s="131" t="s">
        <v>72</v>
      </c>
      <c r="AY167" s="124" t="s">
        <v>133</v>
      </c>
      <c r="BK167" s="132" t="e">
        <f>BK168+#REF!+BK186+#REF!+#REF!+#REF!+BK210+#REF!+BK251+BK285+BK288+#REF!</f>
        <v>#REF!</v>
      </c>
    </row>
    <row r="168" spans="2:63" s="12" customFormat="1" ht="22.9" customHeight="1">
      <c r="B168" s="123"/>
      <c r="D168" s="124" t="s">
        <v>71</v>
      </c>
      <c r="E168" s="133" t="s">
        <v>215</v>
      </c>
      <c r="F168" s="133" t="s">
        <v>216</v>
      </c>
      <c r="J168" s="134">
        <f>BK168</f>
        <v>0</v>
      </c>
      <c r="L168" s="123"/>
      <c r="M168" s="127"/>
      <c r="N168" s="128"/>
      <c r="O168" s="128"/>
      <c r="P168" s="129">
        <f>SUM(P169:P185)</f>
        <v>64.1691</v>
      </c>
      <c r="Q168" s="128"/>
      <c r="R168" s="129">
        <f>SUM(R169:R185)</f>
        <v>0.7617236250000001</v>
      </c>
      <c r="S168" s="128"/>
      <c r="T168" s="130">
        <f>SUM(T169:T185)</f>
        <v>0</v>
      </c>
      <c r="AR168" s="124" t="s">
        <v>82</v>
      </c>
      <c r="AT168" s="131" t="s">
        <v>71</v>
      </c>
      <c r="AU168" s="131" t="s">
        <v>80</v>
      </c>
      <c r="AY168" s="124" t="s">
        <v>133</v>
      </c>
      <c r="BK168" s="132">
        <f>SUM(BK169:BK185)</f>
        <v>0</v>
      </c>
    </row>
    <row r="169" spans="1:65" s="2" customFormat="1" ht="49.15" customHeight="1">
      <c r="A169" s="30"/>
      <c r="B169" s="135"/>
      <c r="C169" s="136">
        <v>23</v>
      </c>
      <c r="D169" s="136" t="s">
        <v>136</v>
      </c>
      <c r="E169" s="137" t="s">
        <v>217</v>
      </c>
      <c r="F169" s="138" t="s">
        <v>218</v>
      </c>
      <c r="G169" s="139" t="s">
        <v>149</v>
      </c>
      <c r="H169" s="140">
        <f>H177</f>
        <v>56.8875</v>
      </c>
      <c r="I169" s="141"/>
      <c r="J169" s="141">
        <f>ROUND(I169*H169,2)</f>
        <v>0</v>
      </c>
      <c r="K169" s="138" t="s">
        <v>141</v>
      </c>
      <c r="L169" s="31"/>
      <c r="M169" s="142" t="s">
        <v>3</v>
      </c>
      <c r="N169" s="143" t="s">
        <v>43</v>
      </c>
      <c r="O169" s="144">
        <v>0.968</v>
      </c>
      <c r="P169" s="144">
        <f>O169*H169</f>
        <v>55.0671</v>
      </c>
      <c r="Q169" s="144">
        <v>0.01259</v>
      </c>
      <c r="R169" s="144">
        <f>Q169*H169</f>
        <v>0.7162136250000001</v>
      </c>
      <c r="S169" s="144">
        <v>0</v>
      </c>
      <c r="T169" s="145">
        <f>S169*H169</f>
        <v>0</v>
      </c>
      <c r="U169" s="30"/>
      <c r="V169" s="30"/>
      <c r="W169" s="30"/>
      <c r="X169" s="30"/>
      <c r="Y169" s="30"/>
      <c r="Z169" s="30"/>
      <c r="AA169" s="30"/>
      <c r="AB169" s="30"/>
      <c r="AC169" s="30"/>
      <c r="AD169" s="30"/>
      <c r="AE169" s="30"/>
      <c r="AR169" s="146" t="s">
        <v>154</v>
      </c>
      <c r="AT169" s="146" t="s">
        <v>136</v>
      </c>
      <c r="AU169" s="146" t="s">
        <v>82</v>
      </c>
      <c r="AY169" s="18" t="s">
        <v>133</v>
      </c>
      <c r="BE169" s="147">
        <f>IF(N169="základní",J169,0)</f>
        <v>0</v>
      </c>
      <c r="BF169" s="147">
        <f>IF(N169="snížená",J169,0)</f>
        <v>0</v>
      </c>
      <c r="BG169" s="147">
        <f>IF(N169="zákl. přenesená",J169,0)</f>
        <v>0</v>
      </c>
      <c r="BH169" s="147">
        <f>IF(N169="sníž. přenesená",J169,0)</f>
        <v>0</v>
      </c>
      <c r="BI169" s="147">
        <f>IF(N169="nulová",J169,0)</f>
        <v>0</v>
      </c>
      <c r="BJ169" s="18" t="s">
        <v>80</v>
      </c>
      <c r="BK169" s="147">
        <f>ROUND(I169*H169,2)</f>
        <v>0</v>
      </c>
      <c r="BL169" s="18" t="s">
        <v>154</v>
      </c>
      <c r="BM169" s="146" t="s">
        <v>219</v>
      </c>
    </row>
    <row r="170" spans="1:47" s="2" customFormat="1" ht="146.25">
      <c r="A170" s="30"/>
      <c r="B170" s="31"/>
      <c r="C170" s="30"/>
      <c r="D170" s="149" t="s">
        <v>142</v>
      </c>
      <c r="E170" s="30"/>
      <c r="F170" s="162" t="s">
        <v>220</v>
      </c>
      <c r="G170" s="30"/>
      <c r="H170" s="30"/>
      <c r="I170" s="30"/>
      <c r="J170" s="30"/>
      <c r="K170" s="30"/>
      <c r="L170" s="31"/>
      <c r="M170" s="163"/>
      <c r="N170" s="164"/>
      <c r="O170" s="51"/>
      <c r="P170" s="51"/>
      <c r="Q170" s="51"/>
      <c r="R170" s="51"/>
      <c r="S170" s="51"/>
      <c r="T170" s="52"/>
      <c r="U170" s="30"/>
      <c r="V170" s="30"/>
      <c r="W170" s="30"/>
      <c r="X170" s="30"/>
      <c r="Y170" s="30"/>
      <c r="Z170" s="30"/>
      <c r="AA170" s="30"/>
      <c r="AB170" s="30"/>
      <c r="AC170" s="30"/>
      <c r="AD170" s="30"/>
      <c r="AE170" s="30"/>
      <c r="AT170" s="18" t="s">
        <v>142</v>
      </c>
      <c r="AU170" s="18" t="s">
        <v>82</v>
      </c>
    </row>
    <row r="171" spans="2:51" s="13" customFormat="1" ht="12">
      <c r="B171" s="148"/>
      <c r="D171" s="149" t="s">
        <v>139</v>
      </c>
      <c r="E171" s="150" t="s">
        <v>3</v>
      </c>
      <c r="F171" s="151">
        <v>101</v>
      </c>
      <c r="H171" s="150" t="s">
        <v>3</v>
      </c>
      <c r="L171" s="148"/>
      <c r="M171" s="152"/>
      <c r="N171" s="153"/>
      <c r="O171" s="153"/>
      <c r="P171" s="153"/>
      <c r="Q171" s="153"/>
      <c r="R171" s="153"/>
      <c r="S171" s="153"/>
      <c r="T171" s="154"/>
      <c r="AT171" s="150" t="s">
        <v>139</v>
      </c>
      <c r="AU171" s="150" t="s">
        <v>82</v>
      </c>
      <c r="AV171" s="13" t="s">
        <v>80</v>
      </c>
      <c r="AW171" s="13" t="s">
        <v>34</v>
      </c>
      <c r="AX171" s="13" t="s">
        <v>72</v>
      </c>
      <c r="AY171" s="150" t="s">
        <v>133</v>
      </c>
    </row>
    <row r="172" spans="2:51" s="14" customFormat="1" ht="12">
      <c r="B172" s="155"/>
      <c r="D172" s="149" t="s">
        <v>139</v>
      </c>
      <c r="E172" s="156" t="s">
        <v>3</v>
      </c>
      <c r="F172" s="157" t="s">
        <v>925</v>
      </c>
      <c r="H172" s="158">
        <f>13.76+(0.25+0.25)*2.12</f>
        <v>14.82</v>
      </c>
      <c r="L172" s="155"/>
      <c r="M172" s="159"/>
      <c r="N172" s="160"/>
      <c r="O172" s="160"/>
      <c r="P172" s="160"/>
      <c r="Q172" s="160"/>
      <c r="R172" s="160"/>
      <c r="S172" s="160"/>
      <c r="T172" s="161"/>
      <c r="AT172" s="156" t="s">
        <v>139</v>
      </c>
      <c r="AU172" s="156" t="s">
        <v>82</v>
      </c>
      <c r="AV172" s="14" t="s">
        <v>82</v>
      </c>
      <c r="AW172" s="14" t="s">
        <v>34</v>
      </c>
      <c r="AX172" s="14" t="s">
        <v>72</v>
      </c>
      <c r="AY172" s="156" t="s">
        <v>133</v>
      </c>
    </row>
    <row r="173" spans="2:51" s="13" customFormat="1" ht="12">
      <c r="B173" s="148"/>
      <c r="D173" s="149" t="s">
        <v>139</v>
      </c>
      <c r="E173" s="150" t="s">
        <v>3</v>
      </c>
      <c r="F173" s="151">
        <v>102</v>
      </c>
      <c r="H173" s="150" t="s">
        <v>3</v>
      </c>
      <c r="L173" s="148"/>
      <c r="M173" s="152"/>
      <c r="N173" s="153"/>
      <c r="O173" s="153"/>
      <c r="P173" s="153"/>
      <c r="Q173" s="153"/>
      <c r="R173" s="153"/>
      <c r="S173" s="153"/>
      <c r="T173" s="154"/>
      <c r="AT173" s="150" t="s">
        <v>139</v>
      </c>
      <c r="AU173" s="150" t="s">
        <v>82</v>
      </c>
      <c r="AV173" s="13" t="s">
        <v>80</v>
      </c>
      <c r="AW173" s="13" t="s">
        <v>34</v>
      </c>
      <c r="AX173" s="13" t="s">
        <v>72</v>
      </c>
      <c r="AY173" s="150" t="s">
        <v>133</v>
      </c>
    </row>
    <row r="174" spans="2:51" s="14" customFormat="1" ht="12">
      <c r="B174" s="155"/>
      <c r="D174" s="149" t="s">
        <v>139</v>
      </c>
      <c r="E174" s="156" t="s">
        <v>3</v>
      </c>
      <c r="F174" s="157" t="s">
        <v>926</v>
      </c>
      <c r="H174" s="158">
        <f>17.47+(0.25+0.25)*3.06</f>
        <v>19</v>
      </c>
      <c r="L174" s="155"/>
      <c r="M174" s="159"/>
      <c r="N174" s="160"/>
      <c r="O174" s="160"/>
      <c r="P174" s="160"/>
      <c r="Q174" s="160"/>
      <c r="R174" s="160"/>
      <c r="S174" s="160"/>
      <c r="T174" s="161"/>
      <c r="AT174" s="156" t="s">
        <v>139</v>
      </c>
      <c r="AU174" s="156" t="s">
        <v>82</v>
      </c>
      <c r="AV174" s="14" t="s">
        <v>82</v>
      </c>
      <c r="AW174" s="14" t="s">
        <v>34</v>
      </c>
      <c r="AX174" s="14" t="s">
        <v>72</v>
      </c>
      <c r="AY174" s="156" t="s">
        <v>133</v>
      </c>
    </row>
    <row r="175" spans="2:51" s="13" customFormat="1" ht="12">
      <c r="B175" s="148"/>
      <c r="D175" s="149" t="s">
        <v>139</v>
      </c>
      <c r="E175" s="150" t="s">
        <v>3</v>
      </c>
      <c r="F175" s="151">
        <v>103</v>
      </c>
      <c r="H175" s="150" t="s">
        <v>3</v>
      </c>
      <c r="L175" s="148"/>
      <c r="M175" s="152"/>
      <c r="N175" s="153"/>
      <c r="O175" s="153"/>
      <c r="P175" s="153"/>
      <c r="Q175" s="153"/>
      <c r="R175" s="153"/>
      <c r="S175" s="153"/>
      <c r="T175" s="154"/>
      <c r="AT175" s="150" t="s">
        <v>139</v>
      </c>
      <c r="AU175" s="150" t="s">
        <v>82</v>
      </c>
      <c r="AV175" s="13" t="s">
        <v>80</v>
      </c>
      <c r="AW175" s="13" t="s">
        <v>34</v>
      </c>
      <c r="AX175" s="13" t="s">
        <v>72</v>
      </c>
      <c r="AY175" s="150" t="s">
        <v>133</v>
      </c>
    </row>
    <row r="176" spans="2:51" s="14" customFormat="1" ht="12">
      <c r="B176" s="155"/>
      <c r="D176" s="149" t="s">
        <v>139</v>
      </c>
      <c r="E176" s="156" t="s">
        <v>3</v>
      </c>
      <c r="F176" s="157" t="s">
        <v>980</v>
      </c>
      <c r="H176" s="158">
        <f>20.94+0.25*(0.72+1.92+1.52+4.35)</f>
        <v>23.067500000000003</v>
      </c>
      <c r="L176" s="155"/>
      <c r="M176" s="159"/>
      <c r="N176" s="160"/>
      <c r="O176" s="160"/>
      <c r="P176" s="160"/>
      <c r="Q176" s="160"/>
      <c r="R176" s="160"/>
      <c r="S176" s="160"/>
      <c r="T176" s="161"/>
      <c r="AT176" s="156" t="s">
        <v>139</v>
      </c>
      <c r="AU176" s="156" t="s">
        <v>82</v>
      </c>
      <c r="AV176" s="14" t="s">
        <v>82</v>
      </c>
      <c r="AW176" s="14" t="s">
        <v>34</v>
      </c>
      <c r="AX176" s="14" t="s">
        <v>72</v>
      </c>
      <c r="AY176" s="156" t="s">
        <v>133</v>
      </c>
    </row>
    <row r="177" spans="2:51" s="15" customFormat="1" ht="12">
      <c r="B177" s="165"/>
      <c r="D177" s="149" t="s">
        <v>139</v>
      </c>
      <c r="E177" s="166" t="s">
        <v>3</v>
      </c>
      <c r="F177" s="167" t="s">
        <v>143</v>
      </c>
      <c r="H177" s="168">
        <f>H172+H174+H176</f>
        <v>56.8875</v>
      </c>
      <c r="L177" s="165"/>
      <c r="M177" s="169"/>
      <c r="N177" s="170"/>
      <c r="O177" s="170"/>
      <c r="P177" s="170"/>
      <c r="Q177" s="170"/>
      <c r="R177" s="170"/>
      <c r="S177" s="170"/>
      <c r="T177" s="171"/>
      <c r="AT177" s="166" t="s">
        <v>139</v>
      </c>
      <c r="AU177" s="166" t="s">
        <v>82</v>
      </c>
      <c r="AV177" s="15" t="s">
        <v>138</v>
      </c>
      <c r="AW177" s="15" t="s">
        <v>34</v>
      </c>
      <c r="AX177" s="15" t="s">
        <v>80</v>
      </c>
      <c r="AY177" s="166" t="s">
        <v>133</v>
      </c>
    </row>
    <row r="178" spans="1:65" s="2" customFormat="1" ht="24.2" customHeight="1">
      <c r="A178" s="30"/>
      <c r="B178" s="135"/>
      <c r="C178" s="136">
        <v>24</v>
      </c>
      <c r="D178" s="136" t="s">
        <v>136</v>
      </c>
      <c r="E178" s="137" t="s">
        <v>221</v>
      </c>
      <c r="F178" s="138" t="s">
        <v>222</v>
      </c>
      <c r="G178" s="139" t="s">
        <v>149</v>
      </c>
      <c r="H178" s="140">
        <f>H169</f>
        <v>56.8875</v>
      </c>
      <c r="I178" s="141"/>
      <c r="J178" s="141">
        <f>ROUND(I178*H178,2)</f>
        <v>0</v>
      </c>
      <c r="K178" s="138" t="s">
        <v>141</v>
      </c>
      <c r="L178" s="31"/>
      <c r="M178" s="142" t="s">
        <v>3</v>
      </c>
      <c r="N178" s="143" t="s">
        <v>43</v>
      </c>
      <c r="O178" s="144">
        <v>0.12</v>
      </c>
      <c r="P178" s="144">
        <f>O178*H178</f>
        <v>6.8265</v>
      </c>
      <c r="Q178" s="144">
        <v>0.0007</v>
      </c>
      <c r="R178" s="144">
        <f>Q178*H178</f>
        <v>0.03982125</v>
      </c>
      <c r="S178" s="144">
        <v>0</v>
      </c>
      <c r="T178" s="145">
        <f>S178*H178</f>
        <v>0</v>
      </c>
      <c r="U178" s="30"/>
      <c r="V178" s="30"/>
      <c r="W178" s="30"/>
      <c r="X178" s="30"/>
      <c r="Y178" s="30"/>
      <c r="Z178" s="30"/>
      <c r="AA178" s="30"/>
      <c r="AB178" s="30"/>
      <c r="AC178" s="30"/>
      <c r="AD178" s="30"/>
      <c r="AE178" s="30"/>
      <c r="AR178" s="146" t="s">
        <v>154</v>
      </c>
      <c r="AT178" s="146" t="s">
        <v>136</v>
      </c>
      <c r="AU178" s="146" t="s">
        <v>82</v>
      </c>
      <c r="AY178" s="18" t="s">
        <v>133</v>
      </c>
      <c r="BE178" s="147">
        <f>IF(N178="základní",J178,0)</f>
        <v>0</v>
      </c>
      <c r="BF178" s="147">
        <f>IF(N178="snížená",J178,0)</f>
        <v>0</v>
      </c>
      <c r="BG178" s="147">
        <f>IF(N178="zákl. přenesená",J178,0)</f>
        <v>0</v>
      </c>
      <c r="BH178" s="147">
        <f>IF(N178="sníž. přenesená",J178,0)</f>
        <v>0</v>
      </c>
      <c r="BI178" s="147">
        <f>IF(N178="nulová",J178,0)</f>
        <v>0</v>
      </c>
      <c r="BJ178" s="18" t="s">
        <v>80</v>
      </c>
      <c r="BK178" s="147">
        <f>ROUND(I178*H178,2)</f>
        <v>0</v>
      </c>
      <c r="BL178" s="18" t="s">
        <v>154</v>
      </c>
      <c r="BM178" s="146" t="s">
        <v>223</v>
      </c>
    </row>
    <row r="179" spans="1:47" s="2" customFormat="1" ht="146.25">
      <c r="A179" s="30"/>
      <c r="B179" s="31"/>
      <c r="C179" s="30"/>
      <c r="D179" s="149" t="s">
        <v>142</v>
      </c>
      <c r="E179" s="30"/>
      <c r="F179" s="162" t="s">
        <v>220</v>
      </c>
      <c r="G179" s="30"/>
      <c r="H179" s="30"/>
      <c r="I179" s="30"/>
      <c r="J179" s="30"/>
      <c r="K179" s="30"/>
      <c r="L179" s="31"/>
      <c r="M179" s="163"/>
      <c r="N179" s="164"/>
      <c r="O179" s="51"/>
      <c r="P179" s="51"/>
      <c r="Q179" s="51"/>
      <c r="R179" s="51"/>
      <c r="S179" s="51"/>
      <c r="T179" s="52"/>
      <c r="U179" s="30"/>
      <c r="V179" s="30"/>
      <c r="W179" s="30"/>
      <c r="X179" s="30"/>
      <c r="Y179" s="30"/>
      <c r="Z179" s="30"/>
      <c r="AA179" s="30"/>
      <c r="AB179" s="30"/>
      <c r="AC179" s="30"/>
      <c r="AD179" s="30"/>
      <c r="AE179" s="30"/>
      <c r="AT179" s="18" t="s">
        <v>142</v>
      </c>
      <c r="AU179" s="18" t="s">
        <v>82</v>
      </c>
    </row>
    <row r="180" spans="1:65" s="2" customFormat="1" ht="37.9" customHeight="1">
      <c r="A180" s="30"/>
      <c r="B180" s="135"/>
      <c r="C180" s="136">
        <v>25</v>
      </c>
      <c r="D180" s="136" t="s">
        <v>136</v>
      </c>
      <c r="E180" s="137" t="s">
        <v>224</v>
      </c>
      <c r="F180" s="138" t="s">
        <v>225</v>
      </c>
      <c r="G180" s="139" t="s">
        <v>149</v>
      </c>
      <c r="H180" s="140">
        <f>H169</f>
        <v>56.8875</v>
      </c>
      <c r="I180" s="141"/>
      <c r="J180" s="141">
        <f>ROUND(I180*H180,2)</f>
        <v>0</v>
      </c>
      <c r="K180" s="138" t="s">
        <v>141</v>
      </c>
      <c r="L180" s="31"/>
      <c r="M180" s="142" t="s">
        <v>3</v>
      </c>
      <c r="N180" s="143" t="s">
        <v>43</v>
      </c>
      <c r="O180" s="144">
        <v>0.04</v>
      </c>
      <c r="P180" s="144">
        <f>O180*H180</f>
        <v>2.2755</v>
      </c>
      <c r="Q180" s="144">
        <v>0.0001</v>
      </c>
      <c r="R180" s="144">
        <f>Q180*H180</f>
        <v>0.00568875</v>
      </c>
      <c r="S180" s="144">
        <v>0</v>
      </c>
      <c r="T180" s="145">
        <f>S180*H180</f>
        <v>0</v>
      </c>
      <c r="U180" s="30"/>
      <c r="V180" s="30"/>
      <c r="W180" s="30"/>
      <c r="X180" s="30"/>
      <c r="Y180" s="30"/>
      <c r="Z180" s="30"/>
      <c r="AA180" s="30"/>
      <c r="AB180" s="30"/>
      <c r="AC180" s="30"/>
      <c r="AD180" s="30"/>
      <c r="AE180" s="30"/>
      <c r="AR180" s="146" t="s">
        <v>154</v>
      </c>
      <c r="AT180" s="146" t="s">
        <v>136</v>
      </c>
      <c r="AU180" s="146" t="s">
        <v>82</v>
      </c>
      <c r="AY180" s="18" t="s">
        <v>133</v>
      </c>
      <c r="BE180" s="147">
        <f>IF(N180="základní",J180,0)</f>
        <v>0</v>
      </c>
      <c r="BF180" s="147">
        <f>IF(N180="snížená",J180,0)</f>
        <v>0</v>
      </c>
      <c r="BG180" s="147">
        <f>IF(N180="zákl. přenesená",J180,0)</f>
        <v>0</v>
      </c>
      <c r="BH180" s="147">
        <f>IF(N180="sníž. přenesená",J180,0)</f>
        <v>0</v>
      </c>
      <c r="BI180" s="147">
        <f>IF(N180="nulová",J180,0)</f>
        <v>0</v>
      </c>
      <c r="BJ180" s="18" t="s">
        <v>80</v>
      </c>
      <c r="BK180" s="147">
        <f>ROUND(I180*H180,2)</f>
        <v>0</v>
      </c>
      <c r="BL180" s="18" t="s">
        <v>154</v>
      </c>
      <c r="BM180" s="146" t="s">
        <v>226</v>
      </c>
    </row>
    <row r="181" spans="1:47" s="2" customFormat="1" ht="146.25">
      <c r="A181" s="30"/>
      <c r="B181" s="31"/>
      <c r="C181" s="30"/>
      <c r="D181" s="149" t="s">
        <v>142</v>
      </c>
      <c r="E181" s="30"/>
      <c r="F181" s="162" t="s">
        <v>220</v>
      </c>
      <c r="G181" s="30"/>
      <c r="H181" s="30"/>
      <c r="I181" s="30"/>
      <c r="J181" s="30"/>
      <c r="K181" s="30"/>
      <c r="L181" s="31"/>
      <c r="M181" s="163"/>
      <c r="N181" s="164"/>
      <c r="O181" s="51"/>
      <c r="P181" s="51"/>
      <c r="Q181" s="51"/>
      <c r="R181" s="51"/>
      <c r="S181" s="51"/>
      <c r="T181" s="52"/>
      <c r="U181" s="30"/>
      <c r="V181" s="30"/>
      <c r="W181" s="30"/>
      <c r="X181" s="30"/>
      <c r="Y181" s="30"/>
      <c r="Z181" s="30"/>
      <c r="AA181" s="30"/>
      <c r="AB181" s="30"/>
      <c r="AC181" s="30"/>
      <c r="AD181" s="30"/>
      <c r="AE181" s="30"/>
      <c r="AT181" s="18" t="s">
        <v>142</v>
      </c>
      <c r="AU181" s="18" t="s">
        <v>82</v>
      </c>
    </row>
    <row r="182" spans="1:65" s="2" customFormat="1" ht="37.9" customHeight="1">
      <c r="A182" s="30"/>
      <c r="B182" s="135"/>
      <c r="C182" s="136">
        <v>26</v>
      </c>
      <c r="D182" s="136" t="s">
        <v>136</v>
      </c>
      <c r="E182" s="137" t="s">
        <v>227</v>
      </c>
      <c r="F182" s="138" t="s">
        <v>228</v>
      </c>
      <c r="G182" s="139" t="s">
        <v>229</v>
      </c>
      <c r="H182" s="140">
        <f>SUM(J169:J181)/100</f>
        <v>0</v>
      </c>
      <c r="I182" s="141"/>
      <c r="J182" s="141">
        <f>ROUND(I182*H182,2)</f>
        <v>0</v>
      </c>
      <c r="K182" s="138" t="s">
        <v>141</v>
      </c>
      <c r="L182" s="31"/>
      <c r="M182" s="142" t="s">
        <v>3</v>
      </c>
      <c r="N182" s="143" t="s">
        <v>43</v>
      </c>
      <c r="O182" s="144">
        <v>0</v>
      </c>
      <c r="P182" s="144">
        <f>O182*H182</f>
        <v>0</v>
      </c>
      <c r="Q182" s="144">
        <v>0</v>
      </c>
      <c r="R182" s="144">
        <f>Q182*H182</f>
        <v>0</v>
      </c>
      <c r="S182" s="144">
        <v>0</v>
      </c>
      <c r="T182" s="145">
        <f>S182*H182</f>
        <v>0</v>
      </c>
      <c r="U182" s="30"/>
      <c r="V182" s="30"/>
      <c r="W182" s="30"/>
      <c r="X182" s="30"/>
      <c r="Y182" s="30"/>
      <c r="Z182" s="30"/>
      <c r="AA182" s="30"/>
      <c r="AB182" s="30"/>
      <c r="AC182" s="30"/>
      <c r="AD182" s="30"/>
      <c r="AE182" s="30"/>
      <c r="AR182" s="146" t="s">
        <v>154</v>
      </c>
      <c r="AT182" s="146" t="s">
        <v>136</v>
      </c>
      <c r="AU182" s="146" t="s">
        <v>82</v>
      </c>
      <c r="AY182" s="18" t="s">
        <v>133</v>
      </c>
      <c r="BE182" s="147">
        <f>IF(N182="základní",J182,0)</f>
        <v>0</v>
      </c>
      <c r="BF182" s="147">
        <f>IF(N182="snížená",J182,0)</f>
        <v>0</v>
      </c>
      <c r="BG182" s="147">
        <f>IF(N182="zákl. přenesená",J182,0)</f>
        <v>0</v>
      </c>
      <c r="BH182" s="147">
        <f>IF(N182="sníž. přenesená",J182,0)</f>
        <v>0</v>
      </c>
      <c r="BI182" s="147">
        <f>IF(N182="nulová",J182,0)</f>
        <v>0</v>
      </c>
      <c r="BJ182" s="18" t="s">
        <v>80</v>
      </c>
      <c r="BK182" s="147">
        <f>ROUND(I182*H182,2)</f>
        <v>0</v>
      </c>
      <c r="BL182" s="18" t="s">
        <v>154</v>
      </c>
      <c r="BM182" s="146" t="s">
        <v>230</v>
      </c>
    </row>
    <row r="183" spans="1:47" s="2" customFormat="1" ht="146.25">
      <c r="A183" s="30"/>
      <c r="B183" s="31"/>
      <c r="C183" s="30"/>
      <c r="D183" s="149" t="s">
        <v>142</v>
      </c>
      <c r="E183" s="30"/>
      <c r="F183" s="162" t="s">
        <v>231</v>
      </c>
      <c r="G183" s="30"/>
      <c r="H183" s="30"/>
      <c r="I183" s="30"/>
      <c r="J183" s="30"/>
      <c r="K183" s="30"/>
      <c r="L183" s="31"/>
      <c r="M183" s="163"/>
      <c r="N183" s="164"/>
      <c r="O183" s="51"/>
      <c r="P183" s="51"/>
      <c r="Q183" s="51"/>
      <c r="R183" s="51"/>
      <c r="S183" s="51"/>
      <c r="T183" s="52"/>
      <c r="U183" s="30"/>
      <c r="V183" s="30"/>
      <c r="W183" s="30"/>
      <c r="X183" s="30"/>
      <c r="Y183" s="30"/>
      <c r="Z183" s="30"/>
      <c r="AA183" s="30"/>
      <c r="AB183" s="30"/>
      <c r="AC183" s="30"/>
      <c r="AD183" s="30"/>
      <c r="AE183" s="30"/>
      <c r="AT183" s="18" t="s">
        <v>142</v>
      </c>
      <c r="AU183" s="18" t="s">
        <v>82</v>
      </c>
    </row>
    <row r="184" spans="1:65" s="2" customFormat="1" ht="49.15" customHeight="1">
      <c r="A184" s="30"/>
      <c r="B184" s="135"/>
      <c r="C184" s="136">
        <v>27</v>
      </c>
      <c r="D184" s="136" t="s">
        <v>136</v>
      </c>
      <c r="E184" s="137" t="s">
        <v>232</v>
      </c>
      <c r="F184" s="138" t="s">
        <v>233</v>
      </c>
      <c r="G184" s="139" t="s">
        <v>229</v>
      </c>
      <c r="H184" s="140">
        <f>H182</f>
        <v>0</v>
      </c>
      <c r="I184" s="141"/>
      <c r="J184" s="141">
        <f>ROUND(I184*H184,2)</f>
        <v>0</v>
      </c>
      <c r="K184" s="138" t="s">
        <v>141</v>
      </c>
      <c r="L184" s="31"/>
      <c r="M184" s="142" t="s">
        <v>3</v>
      </c>
      <c r="N184" s="143" t="s">
        <v>43</v>
      </c>
      <c r="O184" s="144">
        <v>0</v>
      </c>
      <c r="P184" s="144">
        <f>O184*H184</f>
        <v>0</v>
      </c>
      <c r="Q184" s="144">
        <v>0</v>
      </c>
      <c r="R184" s="144">
        <f>Q184*H184</f>
        <v>0</v>
      </c>
      <c r="S184" s="144">
        <v>0</v>
      </c>
      <c r="T184" s="145">
        <f>S184*H184</f>
        <v>0</v>
      </c>
      <c r="U184" s="30"/>
      <c r="V184" s="30"/>
      <c r="W184" s="30"/>
      <c r="X184" s="30"/>
      <c r="Y184" s="30"/>
      <c r="Z184" s="30"/>
      <c r="AA184" s="30"/>
      <c r="AB184" s="30"/>
      <c r="AC184" s="30"/>
      <c r="AD184" s="30"/>
      <c r="AE184" s="30"/>
      <c r="AR184" s="146" t="s">
        <v>154</v>
      </c>
      <c r="AT184" s="146" t="s">
        <v>136</v>
      </c>
      <c r="AU184" s="146" t="s">
        <v>82</v>
      </c>
      <c r="AY184" s="18" t="s">
        <v>133</v>
      </c>
      <c r="BE184" s="147">
        <f>IF(N184="základní",J184,0)</f>
        <v>0</v>
      </c>
      <c r="BF184" s="147">
        <f>IF(N184="snížená",J184,0)</f>
        <v>0</v>
      </c>
      <c r="BG184" s="147">
        <f>IF(N184="zákl. přenesená",J184,0)</f>
        <v>0</v>
      </c>
      <c r="BH184" s="147">
        <f>IF(N184="sníž. přenesená",J184,0)</f>
        <v>0</v>
      </c>
      <c r="BI184" s="147">
        <f>IF(N184="nulová",J184,0)</f>
        <v>0</v>
      </c>
      <c r="BJ184" s="18" t="s">
        <v>80</v>
      </c>
      <c r="BK184" s="147">
        <f>ROUND(I184*H184,2)</f>
        <v>0</v>
      </c>
      <c r="BL184" s="18" t="s">
        <v>154</v>
      </c>
      <c r="BM184" s="146" t="s">
        <v>234</v>
      </c>
    </row>
    <row r="185" spans="1:47" s="2" customFormat="1" ht="146.25">
      <c r="A185" s="30"/>
      <c r="B185" s="31"/>
      <c r="C185" s="30"/>
      <c r="D185" s="149" t="s">
        <v>142</v>
      </c>
      <c r="E185" s="30"/>
      <c r="F185" s="162" t="s">
        <v>231</v>
      </c>
      <c r="G185" s="30"/>
      <c r="H185" s="30"/>
      <c r="I185" s="30"/>
      <c r="J185" s="30"/>
      <c r="K185" s="30"/>
      <c r="L185" s="31"/>
      <c r="M185" s="163"/>
      <c r="N185" s="164"/>
      <c r="O185" s="51"/>
      <c r="P185" s="51"/>
      <c r="Q185" s="51"/>
      <c r="R185" s="51"/>
      <c r="S185" s="51"/>
      <c r="T185" s="52"/>
      <c r="U185" s="30"/>
      <c r="V185" s="30"/>
      <c r="W185" s="30"/>
      <c r="X185" s="30"/>
      <c r="Y185" s="30"/>
      <c r="Z185" s="30"/>
      <c r="AA185" s="30"/>
      <c r="AB185" s="30"/>
      <c r="AC185" s="30"/>
      <c r="AD185" s="30"/>
      <c r="AE185" s="30"/>
      <c r="AT185" s="18" t="s">
        <v>142</v>
      </c>
      <c r="AU185" s="18" t="s">
        <v>82</v>
      </c>
    </row>
    <row r="186" spans="2:63" s="12" customFormat="1" ht="22.9" customHeight="1">
      <c r="B186" s="123"/>
      <c r="D186" s="124" t="s">
        <v>71</v>
      </c>
      <c r="E186" s="133" t="s">
        <v>235</v>
      </c>
      <c r="F186" s="133" t="s">
        <v>236</v>
      </c>
      <c r="J186" s="134">
        <f>SUM(J187:J202)</f>
        <v>0</v>
      </c>
      <c r="L186" s="123"/>
      <c r="M186" s="127"/>
      <c r="N186" s="128"/>
      <c r="O186" s="128"/>
      <c r="P186" s="129">
        <f>SUM(P187:P202)</f>
        <v>4.908734</v>
      </c>
      <c r="Q186" s="128"/>
      <c r="R186" s="129">
        <f>SUM(R187:R202)</f>
        <v>0</v>
      </c>
      <c r="S186" s="128"/>
      <c r="T186" s="130">
        <f>SUM(T187:T202)</f>
        <v>0.004</v>
      </c>
      <c r="AR186" s="124" t="s">
        <v>82</v>
      </c>
      <c r="AT186" s="131" t="s">
        <v>71</v>
      </c>
      <c r="AU186" s="131" t="s">
        <v>80</v>
      </c>
      <c r="AY186" s="124" t="s">
        <v>133</v>
      </c>
      <c r="BK186" s="132">
        <f>SUM(BK187:BK202)</f>
        <v>0</v>
      </c>
    </row>
    <row r="187" spans="1:65" s="2" customFormat="1" ht="24.2" customHeight="1">
      <c r="A187" s="30"/>
      <c r="B187" s="135"/>
      <c r="C187" s="136">
        <v>28</v>
      </c>
      <c r="D187" s="136" t="s">
        <v>136</v>
      </c>
      <c r="E187" s="137" t="s">
        <v>237</v>
      </c>
      <c r="F187" s="138" t="s">
        <v>238</v>
      </c>
      <c r="G187" s="139" t="s">
        <v>140</v>
      </c>
      <c r="H187" s="140">
        <v>1</v>
      </c>
      <c r="I187" s="141"/>
      <c r="J187" s="141">
        <f>ROUND(I187*H187,2)</f>
        <v>0</v>
      </c>
      <c r="K187" s="138" t="s">
        <v>141</v>
      </c>
      <c r="L187" s="31"/>
      <c r="M187" s="142" t="s">
        <v>3</v>
      </c>
      <c r="N187" s="143" t="s">
        <v>43</v>
      </c>
      <c r="O187" s="144">
        <v>0.099</v>
      </c>
      <c r="P187" s="144">
        <f>O187*H187</f>
        <v>0.099</v>
      </c>
      <c r="Q187" s="144">
        <v>0</v>
      </c>
      <c r="R187" s="144">
        <f>Q187*H187</f>
        <v>0</v>
      </c>
      <c r="S187" s="144">
        <v>0.004</v>
      </c>
      <c r="T187" s="145">
        <f>S187*H187</f>
        <v>0.004</v>
      </c>
      <c r="U187" s="30"/>
      <c r="V187" s="30"/>
      <c r="W187" s="30"/>
      <c r="X187" s="30"/>
      <c r="Y187" s="30"/>
      <c r="Z187" s="30"/>
      <c r="AA187" s="30"/>
      <c r="AB187" s="30"/>
      <c r="AC187" s="30"/>
      <c r="AD187" s="30"/>
      <c r="AE187" s="30"/>
      <c r="AR187" s="146" t="s">
        <v>154</v>
      </c>
      <c r="AT187" s="146" t="s">
        <v>136</v>
      </c>
      <c r="AU187" s="146" t="s">
        <v>82</v>
      </c>
      <c r="AY187" s="18" t="s">
        <v>133</v>
      </c>
      <c r="BE187" s="147">
        <f>IF(N187="základní",J187,0)</f>
        <v>0</v>
      </c>
      <c r="BF187" s="147">
        <f>IF(N187="snížená",J187,0)</f>
        <v>0</v>
      </c>
      <c r="BG187" s="147">
        <f>IF(N187="zákl. přenesená",J187,0)</f>
        <v>0</v>
      </c>
      <c r="BH187" s="147">
        <f>IF(N187="sníž. přenesená",J187,0)</f>
        <v>0</v>
      </c>
      <c r="BI187" s="147">
        <f>IF(N187="nulová",J187,0)</f>
        <v>0</v>
      </c>
      <c r="BJ187" s="18" t="s">
        <v>80</v>
      </c>
      <c r="BK187" s="147">
        <f>ROUND(I187*H187,2)</f>
        <v>0</v>
      </c>
      <c r="BL187" s="18" t="s">
        <v>154</v>
      </c>
      <c r="BM187" s="146" t="s">
        <v>239</v>
      </c>
    </row>
    <row r="188" spans="1:65" s="2" customFormat="1" ht="37.9" customHeight="1">
      <c r="A188" s="30"/>
      <c r="B188" s="135"/>
      <c r="C188" s="276">
        <v>29</v>
      </c>
      <c r="D188" s="276" t="s">
        <v>136</v>
      </c>
      <c r="E188" s="277" t="s">
        <v>240</v>
      </c>
      <c r="F188" s="278" t="s">
        <v>241</v>
      </c>
      <c r="G188" s="279" t="s">
        <v>149</v>
      </c>
      <c r="H188" s="280">
        <f>H191</f>
        <v>1.698</v>
      </c>
      <c r="I188" s="269"/>
      <c r="J188" s="269">
        <f>ROUND(I188*H188,2)</f>
        <v>0</v>
      </c>
      <c r="K188" s="278" t="s">
        <v>141</v>
      </c>
      <c r="L188" s="31"/>
      <c r="M188" s="142" t="s">
        <v>3</v>
      </c>
      <c r="N188" s="143" t="s">
        <v>43</v>
      </c>
      <c r="O188" s="144">
        <v>0.683</v>
      </c>
      <c r="P188" s="144">
        <f>O188*H188</f>
        <v>1.159734</v>
      </c>
      <c r="Q188" s="144">
        <v>0</v>
      </c>
      <c r="R188" s="144">
        <f>Q188*H188</f>
        <v>0</v>
      </c>
      <c r="S188" s="144">
        <v>0</v>
      </c>
      <c r="T188" s="145">
        <f>S188*H188</f>
        <v>0</v>
      </c>
      <c r="U188" s="30"/>
      <c r="V188" s="30"/>
      <c r="W188" s="30"/>
      <c r="X188" s="30"/>
      <c r="Y188" s="30"/>
      <c r="Z188" s="30"/>
      <c r="AA188" s="30"/>
      <c r="AB188" s="30"/>
      <c r="AC188" s="30"/>
      <c r="AD188" s="30"/>
      <c r="AE188" s="30"/>
      <c r="AR188" s="146" t="s">
        <v>154</v>
      </c>
      <c r="AT188" s="146" t="s">
        <v>136</v>
      </c>
      <c r="AU188" s="146" t="s">
        <v>82</v>
      </c>
      <c r="AY188" s="18" t="s">
        <v>133</v>
      </c>
      <c r="BE188" s="147">
        <f>IF(N188="základní",J188,0)</f>
        <v>0</v>
      </c>
      <c r="BF188" s="147">
        <f>IF(N188="snížená",J188,0)</f>
        <v>0</v>
      </c>
      <c r="BG188" s="147">
        <f>IF(N188="zákl. přenesená",J188,0)</f>
        <v>0</v>
      </c>
      <c r="BH188" s="147">
        <f>IF(N188="sníž. přenesená",J188,0)</f>
        <v>0</v>
      </c>
      <c r="BI188" s="147">
        <f>IF(N188="nulová",J188,0)</f>
        <v>0</v>
      </c>
      <c r="BJ188" s="18" t="s">
        <v>80</v>
      </c>
      <c r="BK188" s="147">
        <f>ROUND(I188*H188,2)</f>
        <v>0</v>
      </c>
      <c r="BL188" s="18" t="s">
        <v>154</v>
      </c>
      <c r="BM188" s="146" t="s">
        <v>242</v>
      </c>
    </row>
    <row r="189" spans="1:47" s="2" customFormat="1" ht="107.25">
      <c r="A189" s="30"/>
      <c r="B189" s="31"/>
      <c r="C189" s="30"/>
      <c r="D189" s="149" t="s">
        <v>142</v>
      </c>
      <c r="E189" s="30"/>
      <c r="F189" s="162" t="s">
        <v>243</v>
      </c>
      <c r="G189" s="30"/>
      <c r="H189" s="30"/>
      <c r="I189" s="30"/>
      <c r="J189" s="30"/>
      <c r="K189" s="30"/>
      <c r="L189" s="31"/>
      <c r="M189" s="163"/>
      <c r="N189" s="164"/>
      <c r="O189" s="51"/>
      <c r="P189" s="51"/>
      <c r="Q189" s="51"/>
      <c r="R189" s="51"/>
      <c r="S189" s="51"/>
      <c r="T189" s="52"/>
      <c r="U189" s="30"/>
      <c r="V189" s="30"/>
      <c r="W189" s="30"/>
      <c r="X189" s="30"/>
      <c r="Y189" s="30"/>
      <c r="Z189" s="30"/>
      <c r="AA189" s="30"/>
      <c r="AB189" s="30"/>
      <c r="AC189" s="30"/>
      <c r="AD189" s="30"/>
      <c r="AE189" s="30"/>
      <c r="AT189" s="18" t="s">
        <v>142</v>
      </c>
      <c r="AU189" s="18" t="s">
        <v>82</v>
      </c>
    </row>
    <row r="190" spans="2:51" s="13" customFormat="1" ht="12">
      <c r="B190" s="148"/>
      <c r="D190" s="149" t="s">
        <v>139</v>
      </c>
      <c r="E190" s="150" t="s">
        <v>3</v>
      </c>
      <c r="F190" s="151" t="s">
        <v>927</v>
      </c>
      <c r="H190" s="150" t="s">
        <v>3</v>
      </c>
      <c r="L190" s="148"/>
      <c r="M190" s="152"/>
      <c r="N190" s="153"/>
      <c r="O190" s="153"/>
      <c r="P190" s="153"/>
      <c r="Q190" s="153"/>
      <c r="R190" s="153"/>
      <c r="S190" s="153"/>
      <c r="T190" s="154"/>
      <c r="AT190" s="150" t="s">
        <v>139</v>
      </c>
      <c r="AU190" s="150" t="s">
        <v>82</v>
      </c>
      <c r="AV190" s="13" t="s">
        <v>80</v>
      </c>
      <c r="AW190" s="13" t="s">
        <v>34</v>
      </c>
      <c r="AX190" s="13" t="s">
        <v>72</v>
      </c>
      <c r="AY190" s="150" t="s">
        <v>133</v>
      </c>
    </row>
    <row r="191" spans="2:51" s="14" customFormat="1" ht="12">
      <c r="B191" s="155"/>
      <c r="D191" s="149" t="s">
        <v>139</v>
      </c>
      <c r="E191" s="156" t="s">
        <v>3</v>
      </c>
      <c r="F191" s="157" t="s">
        <v>928</v>
      </c>
      <c r="H191" s="158">
        <f>0.6*(2.4+0.43)</f>
        <v>1.698</v>
      </c>
      <c r="L191" s="155"/>
      <c r="M191" s="159"/>
      <c r="N191" s="160"/>
      <c r="O191" s="160"/>
      <c r="P191" s="160"/>
      <c r="Q191" s="160"/>
      <c r="R191" s="160"/>
      <c r="S191" s="160"/>
      <c r="T191" s="161"/>
      <c r="AT191" s="156" t="s">
        <v>139</v>
      </c>
      <c r="AU191" s="156" t="s">
        <v>82</v>
      </c>
      <c r="AV191" s="14" t="s">
        <v>82</v>
      </c>
      <c r="AW191" s="14" t="s">
        <v>34</v>
      </c>
      <c r="AX191" s="14" t="s">
        <v>72</v>
      </c>
      <c r="AY191" s="156" t="s">
        <v>133</v>
      </c>
    </row>
    <row r="192" spans="1:65" s="2" customFormat="1" ht="37.9" customHeight="1">
      <c r="A192" s="30"/>
      <c r="B192" s="135"/>
      <c r="C192" s="172">
        <v>30</v>
      </c>
      <c r="D192" s="172" t="s">
        <v>146</v>
      </c>
      <c r="E192" s="173" t="s">
        <v>244</v>
      </c>
      <c r="F192" s="174" t="s">
        <v>931</v>
      </c>
      <c r="G192" s="175" t="s">
        <v>149</v>
      </c>
      <c r="H192" s="176">
        <f>H193</f>
        <v>1.8678000000000001</v>
      </c>
      <c r="I192" s="177"/>
      <c r="J192" s="177">
        <f>ROUND(I192*H192,2)</f>
        <v>0</v>
      </c>
      <c r="K192" s="174" t="s">
        <v>137</v>
      </c>
      <c r="L192" s="178"/>
      <c r="M192" s="179" t="s">
        <v>3</v>
      </c>
      <c r="N192" s="180" t="s">
        <v>43</v>
      </c>
      <c r="O192" s="144">
        <v>0</v>
      </c>
      <c r="P192" s="144">
        <f>O192*H192</f>
        <v>0</v>
      </c>
      <c r="Q192" s="144">
        <v>0</v>
      </c>
      <c r="R192" s="144">
        <f>Q192*H192</f>
        <v>0</v>
      </c>
      <c r="S192" s="144">
        <v>0</v>
      </c>
      <c r="T192" s="145">
        <f>S192*H192</f>
        <v>0</v>
      </c>
      <c r="U192" s="30"/>
      <c r="V192" s="30"/>
      <c r="W192" s="30"/>
      <c r="X192" s="30"/>
      <c r="Y192" s="30"/>
      <c r="Z192" s="30"/>
      <c r="AA192" s="30"/>
      <c r="AB192" s="30"/>
      <c r="AC192" s="30"/>
      <c r="AD192" s="30"/>
      <c r="AE192" s="30"/>
      <c r="AR192" s="146" t="s">
        <v>162</v>
      </c>
      <c r="AT192" s="146" t="s">
        <v>146</v>
      </c>
      <c r="AU192" s="146" t="s">
        <v>82</v>
      </c>
      <c r="AY192" s="18" t="s">
        <v>133</v>
      </c>
      <c r="BE192" s="147">
        <f>IF(N192="základní",J192,0)</f>
        <v>0</v>
      </c>
      <c r="BF192" s="147">
        <f>IF(N192="snížená",J192,0)</f>
        <v>0</v>
      </c>
      <c r="BG192" s="147">
        <f>IF(N192="zákl. přenesená",J192,0)</f>
        <v>0</v>
      </c>
      <c r="BH192" s="147">
        <f>IF(N192="sníž. přenesená",J192,0)</f>
        <v>0</v>
      </c>
      <c r="BI192" s="147">
        <f>IF(N192="nulová",J192,0)</f>
        <v>0</v>
      </c>
      <c r="BJ192" s="18" t="s">
        <v>80</v>
      </c>
      <c r="BK192" s="147">
        <f>ROUND(I192*H192,2)</f>
        <v>0</v>
      </c>
      <c r="BL192" s="18" t="s">
        <v>154</v>
      </c>
      <c r="BM192" s="146" t="s">
        <v>245</v>
      </c>
    </row>
    <row r="193" spans="2:51" s="14" customFormat="1" ht="12">
      <c r="B193" s="155"/>
      <c r="D193" s="149" t="s">
        <v>139</v>
      </c>
      <c r="F193" s="157" t="s">
        <v>929</v>
      </c>
      <c r="H193" s="158">
        <f>H188*1.1</f>
        <v>1.8678000000000001</v>
      </c>
      <c r="L193" s="155"/>
      <c r="M193" s="159"/>
      <c r="N193" s="160"/>
      <c r="O193" s="160"/>
      <c r="P193" s="160"/>
      <c r="Q193" s="160"/>
      <c r="R193" s="160"/>
      <c r="S193" s="160"/>
      <c r="T193" s="161"/>
      <c r="AT193" s="156" t="s">
        <v>139</v>
      </c>
      <c r="AU193" s="156" t="s">
        <v>82</v>
      </c>
      <c r="AV193" s="14" t="s">
        <v>82</v>
      </c>
      <c r="AW193" s="14" t="s">
        <v>4</v>
      </c>
      <c r="AX193" s="14" t="s">
        <v>80</v>
      </c>
      <c r="AY193" s="156" t="s">
        <v>133</v>
      </c>
    </row>
    <row r="194" spans="1:65" s="2" customFormat="1" ht="37.9" customHeight="1">
      <c r="A194" s="30"/>
      <c r="B194" s="135"/>
      <c r="C194" s="136">
        <v>31</v>
      </c>
      <c r="D194" s="136" t="s">
        <v>136</v>
      </c>
      <c r="E194" s="137" t="s">
        <v>247</v>
      </c>
      <c r="F194" s="138" t="s">
        <v>248</v>
      </c>
      <c r="G194" s="139" t="s">
        <v>140</v>
      </c>
      <c r="H194" s="140">
        <v>2</v>
      </c>
      <c r="I194" s="269"/>
      <c r="J194" s="141">
        <f>ROUND(I194*H194,2)</f>
        <v>0</v>
      </c>
      <c r="K194" s="138" t="s">
        <v>141</v>
      </c>
      <c r="L194" s="31"/>
      <c r="M194" s="142" t="s">
        <v>3</v>
      </c>
      <c r="N194" s="143" t="s">
        <v>43</v>
      </c>
      <c r="O194" s="144">
        <v>1.825</v>
      </c>
      <c r="P194" s="144">
        <f>O194*H194</f>
        <v>3.65</v>
      </c>
      <c r="Q194" s="144">
        <v>0</v>
      </c>
      <c r="R194" s="144">
        <f>Q194*H194</f>
        <v>0</v>
      </c>
      <c r="S194" s="144">
        <v>0</v>
      </c>
      <c r="T194" s="145">
        <f>S194*H194</f>
        <v>0</v>
      </c>
      <c r="U194" s="30"/>
      <c r="V194" s="30"/>
      <c r="W194" s="30"/>
      <c r="X194" s="30"/>
      <c r="Y194" s="30"/>
      <c r="Z194" s="30"/>
      <c r="AA194" s="30"/>
      <c r="AB194" s="30"/>
      <c r="AC194" s="30"/>
      <c r="AD194" s="30"/>
      <c r="AE194" s="30"/>
      <c r="AR194" s="146" t="s">
        <v>154</v>
      </c>
      <c r="AT194" s="146" t="s">
        <v>136</v>
      </c>
      <c r="AU194" s="146" t="s">
        <v>82</v>
      </c>
      <c r="AY194" s="18" t="s">
        <v>133</v>
      </c>
      <c r="BE194" s="147">
        <f>IF(N194="základní",J194,0)</f>
        <v>0</v>
      </c>
      <c r="BF194" s="147">
        <f>IF(N194="snížená",J194,0)</f>
        <v>0</v>
      </c>
      <c r="BG194" s="147">
        <f>IF(N194="zákl. přenesená",J194,0)</f>
        <v>0</v>
      </c>
      <c r="BH194" s="147">
        <f>IF(N194="sníž. přenesená",J194,0)</f>
        <v>0</v>
      </c>
      <c r="BI194" s="147">
        <f>IF(N194="nulová",J194,0)</f>
        <v>0</v>
      </c>
      <c r="BJ194" s="18" t="s">
        <v>80</v>
      </c>
      <c r="BK194" s="147">
        <f>ROUND(I194*H194,2)</f>
        <v>0</v>
      </c>
      <c r="BL194" s="18" t="s">
        <v>154</v>
      </c>
      <c r="BM194" s="146" t="s">
        <v>249</v>
      </c>
    </row>
    <row r="195" spans="1:47" s="2" customFormat="1" ht="126.75">
      <c r="A195" s="30"/>
      <c r="B195" s="31"/>
      <c r="C195" s="30"/>
      <c r="D195" s="149" t="s">
        <v>142</v>
      </c>
      <c r="E195" s="30"/>
      <c r="F195" s="162" t="s">
        <v>246</v>
      </c>
      <c r="G195" s="30"/>
      <c r="H195" s="30"/>
      <c r="I195" s="270"/>
      <c r="J195" s="30"/>
      <c r="K195" s="30"/>
      <c r="L195" s="31"/>
      <c r="M195" s="163"/>
      <c r="N195" s="164"/>
      <c r="O195" s="51"/>
      <c r="P195" s="51"/>
      <c r="Q195" s="51"/>
      <c r="R195" s="51"/>
      <c r="S195" s="51"/>
      <c r="T195" s="52"/>
      <c r="U195" s="30"/>
      <c r="V195" s="30"/>
      <c r="W195" s="30"/>
      <c r="X195" s="30"/>
      <c r="Y195" s="30"/>
      <c r="Z195" s="30"/>
      <c r="AA195" s="30"/>
      <c r="AB195" s="30"/>
      <c r="AC195" s="30"/>
      <c r="AD195" s="30"/>
      <c r="AE195" s="30"/>
      <c r="AT195" s="18" t="s">
        <v>142</v>
      </c>
      <c r="AU195" s="18" t="s">
        <v>82</v>
      </c>
    </row>
    <row r="196" spans="1:65" s="2" customFormat="1" ht="76.35" customHeight="1">
      <c r="A196" s="30"/>
      <c r="B196" s="135"/>
      <c r="C196" s="172">
        <v>32</v>
      </c>
      <c r="D196" s="172" t="s">
        <v>146</v>
      </c>
      <c r="E196" s="173" t="s">
        <v>250</v>
      </c>
      <c r="F196" s="174" t="s">
        <v>930</v>
      </c>
      <c r="G196" s="175" t="s">
        <v>140</v>
      </c>
      <c r="H196" s="176">
        <v>2</v>
      </c>
      <c r="I196" s="272"/>
      <c r="J196" s="177">
        <f>ROUND(I196*H196,2)</f>
        <v>0</v>
      </c>
      <c r="K196" s="174" t="s">
        <v>137</v>
      </c>
      <c r="L196" s="178"/>
      <c r="M196" s="179" t="s">
        <v>3</v>
      </c>
      <c r="N196" s="180" t="s">
        <v>43</v>
      </c>
      <c r="O196" s="144">
        <v>0</v>
      </c>
      <c r="P196" s="144">
        <f>O196*H196</f>
        <v>0</v>
      </c>
      <c r="Q196" s="144">
        <v>0</v>
      </c>
      <c r="R196" s="144">
        <f>Q196*H196</f>
        <v>0</v>
      </c>
      <c r="S196" s="144">
        <v>0</v>
      </c>
      <c r="T196" s="145">
        <f>S196*H196</f>
        <v>0</v>
      </c>
      <c r="U196" s="30"/>
      <c r="V196" s="267"/>
      <c r="W196" s="267"/>
      <c r="X196" s="30"/>
      <c r="Y196" s="30"/>
      <c r="Z196" s="30"/>
      <c r="AA196" s="30"/>
      <c r="AB196" s="30"/>
      <c r="AC196" s="30"/>
      <c r="AD196" s="30"/>
      <c r="AE196" s="30"/>
      <c r="AR196" s="146" t="s">
        <v>162</v>
      </c>
      <c r="AT196" s="146" t="s">
        <v>146</v>
      </c>
      <c r="AU196" s="146" t="s">
        <v>82</v>
      </c>
      <c r="AY196" s="18" t="s">
        <v>133</v>
      </c>
      <c r="BE196" s="147">
        <f>IF(N196="základní",J196,0)</f>
        <v>0</v>
      </c>
      <c r="BF196" s="147">
        <f>IF(N196="snížená",J196,0)</f>
        <v>0</v>
      </c>
      <c r="BG196" s="147">
        <f>IF(N196="zákl. přenesená",J196,0)</f>
        <v>0</v>
      </c>
      <c r="BH196" s="147">
        <f>IF(N196="sníž. přenesená",J196,0)</f>
        <v>0</v>
      </c>
      <c r="BI196" s="147">
        <f>IF(N196="nulová",J196,0)</f>
        <v>0</v>
      </c>
      <c r="BJ196" s="18" t="s">
        <v>80</v>
      </c>
      <c r="BK196" s="147">
        <f>ROUND(I196*H196,2)</f>
        <v>0</v>
      </c>
      <c r="BL196" s="18" t="s">
        <v>154</v>
      </c>
      <c r="BM196" s="146" t="s">
        <v>251</v>
      </c>
    </row>
    <row r="197" spans="1:47" s="2" customFormat="1" ht="48.75">
      <c r="A197" s="30"/>
      <c r="B197" s="31"/>
      <c r="C197" s="30"/>
      <c r="D197" s="149" t="s">
        <v>170</v>
      </c>
      <c r="E197" s="30"/>
      <c r="F197" s="162" t="s">
        <v>937</v>
      </c>
      <c r="G197" s="30"/>
      <c r="H197" s="30"/>
      <c r="I197" s="270"/>
      <c r="J197" s="30"/>
      <c r="K197" s="30"/>
      <c r="L197" s="31"/>
      <c r="M197" s="163"/>
      <c r="N197" s="164"/>
      <c r="O197" s="51"/>
      <c r="P197" s="51"/>
      <c r="Q197" s="51"/>
      <c r="R197" s="51"/>
      <c r="S197" s="51"/>
      <c r="T197" s="52"/>
      <c r="U197" s="30"/>
      <c r="V197" s="30"/>
      <c r="W197" s="30"/>
      <c r="X197" s="30"/>
      <c r="Y197" s="30"/>
      <c r="Z197" s="30"/>
      <c r="AA197" s="30"/>
      <c r="AB197" s="30"/>
      <c r="AC197" s="30"/>
      <c r="AD197" s="30"/>
      <c r="AE197" s="30"/>
      <c r="AT197" s="18" t="s">
        <v>170</v>
      </c>
      <c r="AU197" s="18" t="s">
        <v>82</v>
      </c>
    </row>
    <row r="198" spans="2:51" s="14" customFormat="1" ht="12">
      <c r="B198" s="155"/>
      <c r="D198" s="149" t="s">
        <v>139</v>
      </c>
      <c r="E198" s="156" t="s">
        <v>3</v>
      </c>
      <c r="F198" s="157">
        <v>2</v>
      </c>
      <c r="H198" s="158">
        <v>2</v>
      </c>
      <c r="I198" s="271"/>
      <c r="L198" s="155"/>
      <c r="M198" s="159"/>
      <c r="N198" s="160"/>
      <c r="O198" s="160"/>
      <c r="P198" s="160"/>
      <c r="Q198" s="160"/>
      <c r="R198" s="160"/>
      <c r="S198" s="160"/>
      <c r="T198" s="161"/>
      <c r="AT198" s="156" t="s">
        <v>139</v>
      </c>
      <c r="AU198" s="156" t="s">
        <v>82</v>
      </c>
      <c r="AV198" s="14" t="s">
        <v>82</v>
      </c>
      <c r="AW198" s="14" t="s">
        <v>34</v>
      </c>
      <c r="AX198" s="14" t="s">
        <v>80</v>
      </c>
      <c r="AY198" s="156" t="s">
        <v>133</v>
      </c>
    </row>
    <row r="199" spans="1:65" s="2" customFormat="1" ht="37.9" customHeight="1">
      <c r="A199" s="30"/>
      <c r="B199" s="135"/>
      <c r="C199" s="136">
        <v>33</v>
      </c>
      <c r="D199" s="136" t="s">
        <v>136</v>
      </c>
      <c r="E199" s="137" t="s">
        <v>252</v>
      </c>
      <c r="F199" s="138" t="s">
        <v>253</v>
      </c>
      <c r="G199" s="139" t="s">
        <v>229</v>
      </c>
      <c r="H199" s="140">
        <f>SUM(J187:J198)/100</f>
        <v>0</v>
      </c>
      <c r="I199" s="269"/>
      <c r="J199" s="141">
        <f>ROUND(I199*H199,2)</f>
        <v>0</v>
      </c>
      <c r="K199" s="138" t="s">
        <v>141</v>
      </c>
      <c r="L199" s="31"/>
      <c r="M199" s="142" t="s">
        <v>3</v>
      </c>
      <c r="N199" s="143" t="s">
        <v>43</v>
      </c>
      <c r="O199" s="144">
        <v>0</v>
      </c>
      <c r="P199" s="144">
        <f>O199*H199</f>
        <v>0</v>
      </c>
      <c r="Q199" s="144">
        <v>0</v>
      </c>
      <c r="R199" s="144">
        <f>Q199*H199</f>
        <v>0</v>
      </c>
      <c r="S199" s="144">
        <v>0</v>
      </c>
      <c r="T199" s="145">
        <f>S199*H199</f>
        <v>0</v>
      </c>
      <c r="U199" s="30"/>
      <c r="V199" s="30"/>
      <c r="W199" s="30"/>
      <c r="X199" s="30"/>
      <c r="Y199" s="30"/>
      <c r="Z199" s="30"/>
      <c r="AA199" s="30"/>
      <c r="AB199" s="30"/>
      <c r="AC199" s="30"/>
      <c r="AD199" s="30"/>
      <c r="AE199" s="30"/>
      <c r="AR199" s="146" t="s">
        <v>154</v>
      </c>
      <c r="AT199" s="146" t="s">
        <v>136</v>
      </c>
      <c r="AU199" s="146" t="s">
        <v>82</v>
      </c>
      <c r="AY199" s="18" t="s">
        <v>133</v>
      </c>
      <c r="BE199" s="147">
        <f>IF(N199="základní",J199,0)</f>
        <v>0</v>
      </c>
      <c r="BF199" s="147">
        <f>IF(N199="snížená",J199,0)</f>
        <v>0</v>
      </c>
      <c r="BG199" s="147">
        <f>IF(N199="zákl. přenesená",J199,0)</f>
        <v>0</v>
      </c>
      <c r="BH199" s="147">
        <f>IF(N199="sníž. přenesená",J199,0)</f>
        <v>0</v>
      </c>
      <c r="BI199" s="147">
        <f>IF(N199="nulová",J199,0)</f>
        <v>0</v>
      </c>
      <c r="BJ199" s="18" t="s">
        <v>80</v>
      </c>
      <c r="BK199" s="147">
        <f>ROUND(I199*H199,2)</f>
        <v>0</v>
      </c>
      <c r="BL199" s="18" t="s">
        <v>154</v>
      </c>
      <c r="BM199" s="146" t="s">
        <v>254</v>
      </c>
    </row>
    <row r="200" spans="1:47" s="2" customFormat="1" ht="126.75">
      <c r="A200" s="30"/>
      <c r="B200" s="31"/>
      <c r="C200" s="30"/>
      <c r="D200" s="149" t="s">
        <v>142</v>
      </c>
      <c r="E200" s="30"/>
      <c r="F200" s="162" t="s">
        <v>255</v>
      </c>
      <c r="G200" s="30"/>
      <c r="H200" s="30"/>
      <c r="I200" s="270"/>
      <c r="J200" s="30"/>
      <c r="K200" s="30"/>
      <c r="L200" s="31"/>
      <c r="M200" s="163"/>
      <c r="N200" s="164"/>
      <c r="O200" s="51"/>
      <c r="P200" s="51"/>
      <c r="Q200" s="51"/>
      <c r="R200" s="51"/>
      <c r="S200" s="51"/>
      <c r="T200" s="52"/>
      <c r="U200" s="30"/>
      <c r="V200" s="30"/>
      <c r="W200" s="30"/>
      <c r="X200" s="30"/>
      <c r="Y200" s="30"/>
      <c r="Z200" s="30"/>
      <c r="AA200" s="30"/>
      <c r="AB200" s="30"/>
      <c r="AC200" s="30"/>
      <c r="AD200" s="30"/>
      <c r="AE200" s="30"/>
      <c r="AT200" s="18" t="s">
        <v>142</v>
      </c>
      <c r="AU200" s="18" t="s">
        <v>82</v>
      </c>
    </row>
    <row r="201" spans="1:65" s="2" customFormat="1" ht="49.15" customHeight="1">
      <c r="A201" s="30"/>
      <c r="B201" s="135"/>
      <c r="C201" s="136">
        <v>34</v>
      </c>
      <c r="D201" s="136" t="s">
        <v>136</v>
      </c>
      <c r="E201" s="137" t="s">
        <v>256</v>
      </c>
      <c r="F201" s="138" t="s">
        <v>257</v>
      </c>
      <c r="G201" s="139" t="s">
        <v>229</v>
      </c>
      <c r="H201" s="140">
        <f>H199</f>
        <v>0</v>
      </c>
      <c r="I201" s="269"/>
      <c r="J201" s="141">
        <f>ROUND(I201*H201,2)</f>
        <v>0</v>
      </c>
      <c r="K201" s="138" t="s">
        <v>141</v>
      </c>
      <c r="L201" s="31"/>
      <c r="M201" s="142" t="s">
        <v>3</v>
      </c>
      <c r="N201" s="143" t="s">
        <v>43</v>
      </c>
      <c r="O201" s="144">
        <v>0</v>
      </c>
      <c r="P201" s="144">
        <f>O201*H201</f>
        <v>0</v>
      </c>
      <c r="Q201" s="144">
        <v>0</v>
      </c>
      <c r="R201" s="144">
        <f>Q201*H201</f>
        <v>0</v>
      </c>
      <c r="S201" s="144">
        <v>0</v>
      </c>
      <c r="T201" s="145">
        <f>S201*H201</f>
        <v>0</v>
      </c>
      <c r="U201" s="30"/>
      <c r="V201" s="30"/>
      <c r="W201" s="30"/>
      <c r="X201" s="30"/>
      <c r="Y201" s="30"/>
      <c r="Z201" s="30"/>
      <c r="AA201" s="30"/>
      <c r="AB201" s="30"/>
      <c r="AC201" s="30"/>
      <c r="AD201" s="30"/>
      <c r="AE201" s="30"/>
      <c r="AR201" s="146" t="s">
        <v>154</v>
      </c>
      <c r="AT201" s="146" t="s">
        <v>136</v>
      </c>
      <c r="AU201" s="146" t="s">
        <v>82</v>
      </c>
      <c r="AY201" s="18" t="s">
        <v>133</v>
      </c>
      <c r="BE201" s="147">
        <f>IF(N201="základní",J201,0)</f>
        <v>0</v>
      </c>
      <c r="BF201" s="147">
        <f>IF(N201="snížená",J201,0)</f>
        <v>0</v>
      </c>
      <c r="BG201" s="147">
        <f>IF(N201="zákl. přenesená",J201,0)</f>
        <v>0</v>
      </c>
      <c r="BH201" s="147">
        <f>IF(N201="sníž. přenesená",J201,0)</f>
        <v>0</v>
      </c>
      <c r="BI201" s="147">
        <f>IF(N201="nulová",J201,0)</f>
        <v>0</v>
      </c>
      <c r="BJ201" s="18" t="s">
        <v>80</v>
      </c>
      <c r="BK201" s="147">
        <f>ROUND(I201*H201,2)</f>
        <v>0</v>
      </c>
      <c r="BL201" s="18" t="s">
        <v>154</v>
      </c>
      <c r="BM201" s="146" t="s">
        <v>258</v>
      </c>
    </row>
    <row r="202" spans="1:47" s="2" customFormat="1" ht="126.75">
      <c r="A202" s="30"/>
      <c r="B202" s="31"/>
      <c r="C202" s="30"/>
      <c r="D202" s="149" t="s">
        <v>142</v>
      </c>
      <c r="E202" s="30"/>
      <c r="F202" s="162" t="s">
        <v>255</v>
      </c>
      <c r="G202" s="30"/>
      <c r="H202" s="30"/>
      <c r="I202" s="270"/>
      <c r="J202" s="30"/>
      <c r="K202" s="30"/>
      <c r="L202" s="31"/>
      <c r="M202" s="163"/>
      <c r="N202" s="164"/>
      <c r="O202" s="51"/>
      <c r="P202" s="51"/>
      <c r="Q202" s="51"/>
      <c r="R202" s="51"/>
      <c r="S202" s="51"/>
      <c r="T202" s="52"/>
      <c r="U202" s="30"/>
      <c r="V202" s="30"/>
      <c r="W202" s="30"/>
      <c r="X202" s="30"/>
      <c r="Y202" s="30"/>
      <c r="Z202" s="30"/>
      <c r="AA202" s="30"/>
      <c r="AB202" s="30"/>
      <c r="AC202" s="30"/>
      <c r="AD202" s="30"/>
      <c r="AE202" s="30"/>
      <c r="AT202" s="18" t="s">
        <v>142</v>
      </c>
      <c r="AU202" s="18" t="s">
        <v>82</v>
      </c>
    </row>
    <row r="203" spans="2:63" s="362" customFormat="1" ht="22.9" customHeight="1">
      <c r="B203" s="363"/>
      <c r="D203" s="124" t="s">
        <v>71</v>
      </c>
      <c r="E203" s="133" t="s">
        <v>1015</v>
      </c>
      <c r="F203" s="133" t="s">
        <v>1016</v>
      </c>
      <c r="J203" s="364">
        <f>BK203</f>
        <v>0</v>
      </c>
      <c r="L203" s="363"/>
      <c r="M203" s="365"/>
      <c r="N203" s="366"/>
      <c r="O203" s="366"/>
      <c r="P203" s="367">
        <f>SUM(P204:P209)</f>
        <v>0</v>
      </c>
      <c r="Q203" s="366"/>
      <c r="R203" s="367">
        <f>SUM(R204:R209)</f>
        <v>0</v>
      </c>
      <c r="S203" s="366"/>
      <c r="T203" s="368">
        <f>SUM(T204:T209)</f>
        <v>0</v>
      </c>
      <c r="AR203" s="124" t="s">
        <v>82</v>
      </c>
      <c r="AT203" s="131" t="s">
        <v>71</v>
      </c>
      <c r="AU203" s="131" t="s">
        <v>80</v>
      </c>
      <c r="AY203" s="124" t="s">
        <v>133</v>
      </c>
      <c r="BK203" s="132">
        <f>SUM(BK204:BK209)</f>
        <v>0</v>
      </c>
    </row>
    <row r="204" spans="2:65" s="2" customFormat="1" ht="116.25" customHeight="1">
      <c r="B204" s="369"/>
      <c r="C204" s="136">
        <v>35</v>
      </c>
      <c r="D204" s="136" t="s">
        <v>136</v>
      </c>
      <c r="E204" s="137" t="s">
        <v>1017</v>
      </c>
      <c r="F204" s="138" t="s">
        <v>1026</v>
      </c>
      <c r="G204" s="139" t="s">
        <v>404</v>
      </c>
      <c r="H204" s="140">
        <v>1</v>
      </c>
      <c r="I204" s="141"/>
      <c r="J204" s="141">
        <f>ROUND(I204*H204,2)</f>
        <v>0</v>
      </c>
      <c r="K204" s="138" t="s">
        <v>137</v>
      </c>
      <c r="L204" s="88"/>
      <c r="M204" s="142" t="s">
        <v>3</v>
      </c>
      <c r="N204" s="292" t="s">
        <v>43</v>
      </c>
      <c r="O204" s="293">
        <v>0</v>
      </c>
      <c r="P204" s="293">
        <f>O204*H204</f>
        <v>0</v>
      </c>
      <c r="Q204" s="293">
        <v>0</v>
      </c>
      <c r="R204" s="293">
        <f>Q204*H204</f>
        <v>0</v>
      </c>
      <c r="S204" s="293">
        <v>0</v>
      </c>
      <c r="T204" s="145">
        <f>S204*H204</f>
        <v>0</v>
      </c>
      <c r="AR204" s="146" t="s">
        <v>154</v>
      </c>
      <c r="AT204" s="146" t="s">
        <v>136</v>
      </c>
      <c r="AU204" s="146" t="s">
        <v>82</v>
      </c>
      <c r="AY204" s="370" t="s">
        <v>133</v>
      </c>
      <c r="BE204" s="371">
        <f>IF(N204="základní",J204,0)</f>
        <v>0</v>
      </c>
      <c r="BF204" s="371">
        <f>IF(N204="snížená",J204,0)</f>
        <v>0</v>
      </c>
      <c r="BG204" s="371">
        <f>IF(N204="zákl. přenesená",J204,0)</f>
        <v>0</v>
      </c>
      <c r="BH204" s="371">
        <f>IF(N204="sníž. přenesená",J204,0)</f>
        <v>0</v>
      </c>
      <c r="BI204" s="371">
        <f>IF(N204="nulová",J204,0)</f>
        <v>0</v>
      </c>
      <c r="BJ204" s="370" t="s">
        <v>80</v>
      </c>
      <c r="BK204" s="371">
        <f>ROUND(I204*H204,2)</f>
        <v>0</v>
      </c>
      <c r="BL204" s="370" t="s">
        <v>154</v>
      </c>
      <c r="BM204" s="146" t="s">
        <v>1018</v>
      </c>
    </row>
    <row r="205" spans="2:47" s="2" customFormat="1" ht="29.25">
      <c r="B205" s="88"/>
      <c r="D205" s="149" t="s">
        <v>170</v>
      </c>
      <c r="F205" s="162" t="s">
        <v>1027</v>
      </c>
      <c r="L205" s="88"/>
      <c r="M205" s="372"/>
      <c r="N205" s="290"/>
      <c r="O205" s="290"/>
      <c r="P205" s="290"/>
      <c r="Q205" s="290"/>
      <c r="R205" s="290"/>
      <c r="S205" s="290"/>
      <c r="T205" s="373"/>
      <c r="AT205" s="370" t="s">
        <v>170</v>
      </c>
      <c r="AU205" s="370" t="s">
        <v>82</v>
      </c>
    </row>
    <row r="206" spans="2:65" s="2" customFormat="1" ht="49.5" customHeight="1">
      <c r="B206" s="369"/>
      <c r="C206" s="136">
        <v>36</v>
      </c>
      <c r="D206" s="136" t="s">
        <v>136</v>
      </c>
      <c r="E206" s="137" t="s">
        <v>1019</v>
      </c>
      <c r="F206" s="138" t="s">
        <v>1020</v>
      </c>
      <c r="G206" s="139" t="s">
        <v>229</v>
      </c>
      <c r="H206" s="140">
        <f>J204/100</f>
        <v>0</v>
      </c>
      <c r="I206" s="141"/>
      <c r="J206" s="141">
        <f>ROUND(I206*H206,2)</f>
        <v>0</v>
      </c>
      <c r="K206" s="138" t="s">
        <v>141</v>
      </c>
      <c r="L206" s="88"/>
      <c r="M206" s="142" t="s">
        <v>3</v>
      </c>
      <c r="N206" s="292" t="s">
        <v>43</v>
      </c>
      <c r="O206" s="293">
        <v>0</v>
      </c>
      <c r="P206" s="293">
        <f>O206*H206</f>
        <v>0</v>
      </c>
      <c r="Q206" s="293">
        <v>0</v>
      </c>
      <c r="R206" s="293">
        <f>Q206*H206</f>
        <v>0</v>
      </c>
      <c r="S206" s="293">
        <v>0</v>
      </c>
      <c r="T206" s="145">
        <f>S206*H206</f>
        <v>0</v>
      </c>
      <c r="AR206" s="146" t="s">
        <v>154</v>
      </c>
      <c r="AT206" s="146" t="s">
        <v>136</v>
      </c>
      <c r="AU206" s="146" t="s">
        <v>82</v>
      </c>
      <c r="AY206" s="370" t="s">
        <v>133</v>
      </c>
      <c r="BE206" s="371">
        <f>IF(N206="základní",J206,0)</f>
        <v>0</v>
      </c>
      <c r="BF206" s="371">
        <f>IF(N206="snížená",J206,0)</f>
        <v>0</v>
      </c>
      <c r="BG206" s="371">
        <f>IF(N206="zákl. přenesená",J206,0)</f>
        <v>0</v>
      </c>
      <c r="BH206" s="371">
        <f>IF(N206="sníž. přenesená",J206,0)</f>
        <v>0</v>
      </c>
      <c r="BI206" s="371">
        <f>IF(N206="nulová",J206,0)</f>
        <v>0</v>
      </c>
      <c r="BJ206" s="370" t="s">
        <v>80</v>
      </c>
      <c r="BK206" s="371">
        <f>ROUND(I206*H206,2)</f>
        <v>0</v>
      </c>
      <c r="BL206" s="370" t="s">
        <v>154</v>
      </c>
      <c r="BM206" s="146" t="s">
        <v>1021</v>
      </c>
    </row>
    <row r="207" spans="2:47" s="2" customFormat="1" ht="126.75">
      <c r="B207" s="88"/>
      <c r="D207" s="149" t="s">
        <v>142</v>
      </c>
      <c r="F207" s="162" t="s">
        <v>1022</v>
      </c>
      <c r="L207" s="88"/>
      <c r="M207" s="372"/>
      <c r="N207" s="290"/>
      <c r="O207" s="290"/>
      <c r="P207" s="290"/>
      <c r="Q207" s="290"/>
      <c r="R207" s="290"/>
      <c r="S207" s="290"/>
      <c r="T207" s="373"/>
      <c r="AT207" s="370" t="s">
        <v>142</v>
      </c>
      <c r="AU207" s="370" t="s">
        <v>82</v>
      </c>
    </row>
    <row r="208" spans="2:65" s="2" customFormat="1" ht="49.15" customHeight="1">
      <c r="B208" s="369"/>
      <c r="C208" s="136">
        <v>37</v>
      </c>
      <c r="D208" s="136" t="s">
        <v>136</v>
      </c>
      <c r="E208" s="137" t="s">
        <v>1023</v>
      </c>
      <c r="F208" s="138" t="s">
        <v>1024</v>
      </c>
      <c r="G208" s="139" t="s">
        <v>229</v>
      </c>
      <c r="H208" s="140">
        <f>H206</f>
        <v>0</v>
      </c>
      <c r="I208" s="141"/>
      <c r="J208" s="141">
        <f>ROUND(I208*H208,2)</f>
        <v>0</v>
      </c>
      <c r="K208" s="138" t="s">
        <v>141</v>
      </c>
      <c r="L208" s="88"/>
      <c r="M208" s="142" t="s">
        <v>3</v>
      </c>
      <c r="N208" s="292" t="s">
        <v>43</v>
      </c>
      <c r="O208" s="293">
        <v>0</v>
      </c>
      <c r="P208" s="293">
        <f>O208*H208</f>
        <v>0</v>
      </c>
      <c r="Q208" s="293">
        <v>0</v>
      </c>
      <c r="R208" s="293">
        <f>Q208*H208</f>
        <v>0</v>
      </c>
      <c r="S208" s="293">
        <v>0</v>
      </c>
      <c r="T208" s="145">
        <f>S208*H208</f>
        <v>0</v>
      </c>
      <c r="AR208" s="146" t="s">
        <v>154</v>
      </c>
      <c r="AT208" s="146" t="s">
        <v>136</v>
      </c>
      <c r="AU208" s="146" t="s">
        <v>82</v>
      </c>
      <c r="AY208" s="370" t="s">
        <v>133</v>
      </c>
      <c r="BE208" s="371">
        <f>IF(N208="základní",J208,0)</f>
        <v>0</v>
      </c>
      <c r="BF208" s="371">
        <f>IF(N208="snížená",J208,0)</f>
        <v>0</v>
      </c>
      <c r="BG208" s="371">
        <f>IF(N208="zákl. přenesená",J208,0)</f>
        <v>0</v>
      </c>
      <c r="BH208" s="371">
        <f>IF(N208="sníž. přenesená",J208,0)</f>
        <v>0</v>
      </c>
      <c r="BI208" s="371">
        <f>IF(N208="nulová",J208,0)</f>
        <v>0</v>
      </c>
      <c r="BJ208" s="370" t="s">
        <v>80</v>
      </c>
      <c r="BK208" s="371">
        <f>ROUND(I208*H208,2)</f>
        <v>0</v>
      </c>
      <c r="BL208" s="370" t="s">
        <v>154</v>
      </c>
      <c r="BM208" s="146" t="s">
        <v>1025</v>
      </c>
    </row>
    <row r="209" spans="2:47" s="2" customFormat="1" ht="126.75">
      <c r="B209" s="88"/>
      <c r="D209" s="149" t="s">
        <v>142</v>
      </c>
      <c r="F209" s="162" t="s">
        <v>1022</v>
      </c>
      <c r="L209" s="88"/>
      <c r="M209" s="372"/>
      <c r="N209" s="290"/>
      <c r="O209" s="290"/>
      <c r="P209" s="290"/>
      <c r="Q209" s="290"/>
      <c r="R209" s="290"/>
      <c r="S209" s="290"/>
      <c r="T209" s="373"/>
      <c r="AT209" s="370" t="s">
        <v>142</v>
      </c>
      <c r="AU209" s="370" t="s">
        <v>82</v>
      </c>
    </row>
    <row r="210" spans="2:63" s="12" customFormat="1" ht="22.9" customHeight="1">
      <c r="B210" s="123"/>
      <c r="D210" s="124" t="s">
        <v>71</v>
      </c>
      <c r="E210" s="133" t="s">
        <v>286</v>
      </c>
      <c r="F210" s="133" t="s">
        <v>287</v>
      </c>
      <c r="I210" s="275"/>
      <c r="J210" s="134">
        <f>SUM(J211:J250)</f>
        <v>0</v>
      </c>
      <c r="L210" s="123"/>
      <c r="M210" s="127"/>
      <c r="N210" s="128"/>
      <c r="O210" s="128"/>
      <c r="P210" s="129">
        <f>SUM(P237:P246)</f>
        <v>5.47785</v>
      </c>
      <c r="Q210" s="128"/>
      <c r="R210" s="129">
        <f>SUM(R237:R246)</f>
        <v>0</v>
      </c>
      <c r="S210" s="128"/>
      <c r="T210" s="130">
        <f>SUM(T237:T246)</f>
        <v>0.130425</v>
      </c>
      <c r="AR210" s="124" t="s">
        <v>82</v>
      </c>
      <c r="AT210" s="131" t="s">
        <v>71</v>
      </c>
      <c r="AU210" s="131" t="s">
        <v>80</v>
      </c>
      <c r="AY210" s="124" t="s">
        <v>133</v>
      </c>
      <c r="BK210" s="132">
        <f>SUM(BK237:BK246)</f>
        <v>0</v>
      </c>
    </row>
    <row r="211" spans="1:65" s="2" customFormat="1" ht="37.9" customHeight="1">
      <c r="A211" s="30"/>
      <c r="B211" s="135"/>
      <c r="C211" s="276">
        <v>38</v>
      </c>
      <c r="D211" s="276" t="s">
        <v>136</v>
      </c>
      <c r="E211" s="277" t="s">
        <v>262</v>
      </c>
      <c r="F211" s="278" t="s">
        <v>888</v>
      </c>
      <c r="G211" s="279" t="s">
        <v>149</v>
      </c>
      <c r="H211" s="280">
        <f>H218</f>
        <v>52.17</v>
      </c>
      <c r="I211" s="269"/>
      <c r="J211" s="269">
        <f>ROUND(I211*H211,2)</f>
        <v>0</v>
      </c>
      <c r="K211" s="278" t="s">
        <v>141</v>
      </c>
      <c r="L211" s="31"/>
      <c r="M211" s="142" t="s">
        <v>3</v>
      </c>
      <c r="N211" s="143" t="s">
        <v>43</v>
      </c>
      <c r="O211" s="144">
        <v>0.65</v>
      </c>
      <c r="P211" s="144">
        <f>O211*H211</f>
        <v>33.9105</v>
      </c>
      <c r="Q211" s="144">
        <v>0</v>
      </c>
      <c r="R211" s="144">
        <f>Q211*H211</f>
        <v>0</v>
      </c>
      <c r="S211" s="144">
        <v>0</v>
      </c>
      <c r="T211" s="145">
        <f>S211*H211</f>
        <v>0</v>
      </c>
      <c r="U211" s="30"/>
      <c r="V211" s="30"/>
      <c r="W211" s="30"/>
      <c r="X211" s="30"/>
      <c r="Y211" s="30"/>
      <c r="Z211" s="30"/>
      <c r="AA211" s="30"/>
      <c r="AB211" s="30"/>
      <c r="AC211" s="30"/>
      <c r="AD211" s="30"/>
      <c r="AE211" s="30"/>
      <c r="AR211" s="146" t="s">
        <v>154</v>
      </c>
      <c r="AT211" s="146" t="s">
        <v>136</v>
      </c>
      <c r="AU211" s="146" t="s">
        <v>82</v>
      </c>
      <c r="AY211" s="18" t="s">
        <v>133</v>
      </c>
      <c r="BE211" s="147">
        <f>IF(N211="základní",J211,0)</f>
        <v>0</v>
      </c>
      <c r="BF211" s="147">
        <f>IF(N211="snížená",J211,0)</f>
        <v>0</v>
      </c>
      <c r="BG211" s="147">
        <f>IF(N211="zákl. přenesená",J211,0)</f>
        <v>0</v>
      </c>
      <c r="BH211" s="147">
        <f>IF(N211="sníž. přenesená",J211,0)</f>
        <v>0</v>
      </c>
      <c r="BI211" s="147">
        <f>IF(N211="nulová",J211,0)</f>
        <v>0</v>
      </c>
      <c r="BJ211" s="18" t="s">
        <v>80</v>
      </c>
      <c r="BK211" s="147">
        <f>ROUND(I211*H211,2)</f>
        <v>0</v>
      </c>
      <c r="BL211" s="18" t="s">
        <v>154</v>
      </c>
      <c r="BM211" s="146" t="s">
        <v>263</v>
      </c>
    </row>
    <row r="212" spans="2:51" s="13" customFormat="1" ht="12">
      <c r="B212" s="148"/>
      <c r="D212" s="149" t="s">
        <v>139</v>
      </c>
      <c r="E212" s="150" t="s">
        <v>3</v>
      </c>
      <c r="F212" s="151">
        <v>101</v>
      </c>
      <c r="H212" s="150" t="s">
        <v>3</v>
      </c>
      <c r="I212" s="273"/>
      <c r="L212" s="148"/>
      <c r="M212" s="152"/>
      <c r="N212" s="153"/>
      <c r="O212" s="153"/>
      <c r="P212" s="153"/>
      <c r="Q212" s="153"/>
      <c r="R212" s="153"/>
      <c r="S212" s="153"/>
      <c r="T212" s="154"/>
      <c r="AT212" s="150" t="s">
        <v>139</v>
      </c>
      <c r="AU212" s="150" t="s">
        <v>82</v>
      </c>
      <c r="AV212" s="13" t="s">
        <v>80</v>
      </c>
      <c r="AW212" s="13" t="s">
        <v>34</v>
      </c>
      <c r="AX212" s="13" t="s">
        <v>72</v>
      </c>
      <c r="AY212" s="150" t="s">
        <v>133</v>
      </c>
    </row>
    <row r="213" spans="2:51" s="14" customFormat="1" ht="12">
      <c r="B213" s="155"/>
      <c r="D213" s="149" t="s">
        <v>139</v>
      </c>
      <c r="E213" s="156" t="s">
        <v>3</v>
      </c>
      <c r="F213" s="157">
        <v>13.76</v>
      </c>
      <c r="H213" s="158">
        <f>F213</f>
        <v>13.76</v>
      </c>
      <c r="I213" s="271"/>
      <c r="L213" s="155"/>
      <c r="M213" s="159"/>
      <c r="N213" s="160"/>
      <c r="O213" s="160"/>
      <c r="P213" s="160"/>
      <c r="Q213" s="160"/>
      <c r="R213" s="160"/>
      <c r="S213" s="160"/>
      <c r="T213" s="161"/>
      <c r="AT213" s="156" t="s">
        <v>139</v>
      </c>
      <c r="AU213" s="156" t="s">
        <v>82</v>
      </c>
      <c r="AV213" s="14" t="s">
        <v>82</v>
      </c>
      <c r="AW213" s="14" t="s">
        <v>34</v>
      </c>
      <c r="AX213" s="14" t="s">
        <v>72</v>
      </c>
      <c r="AY213" s="156" t="s">
        <v>133</v>
      </c>
    </row>
    <row r="214" spans="2:51" s="13" customFormat="1" ht="12">
      <c r="B214" s="148"/>
      <c r="D214" s="149" t="s">
        <v>139</v>
      </c>
      <c r="E214" s="150" t="s">
        <v>3</v>
      </c>
      <c r="F214" s="151">
        <v>102</v>
      </c>
      <c r="H214" s="150" t="s">
        <v>3</v>
      </c>
      <c r="I214" s="273"/>
      <c r="L214" s="148"/>
      <c r="M214" s="152"/>
      <c r="N214" s="153"/>
      <c r="O214" s="153"/>
      <c r="P214" s="153"/>
      <c r="Q214" s="153"/>
      <c r="R214" s="153"/>
      <c r="S214" s="153"/>
      <c r="T214" s="154"/>
      <c r="AT214" s="150" t="s">
        <v>139</v>
      </c>
      <c r="AU214" s="150" t="s">
        <v>82</v>
      </c>
      <c r="AV214" s="13" t="s">
        <v>80</v>
      </c>
      <c r="AW214" s="13" t="s">
        <v>34</v>
      </c>
      <c r="AX214" s="13" t="s">
        <v>72</v>
      </c>
      <c r="AY214" s="150" t="s">
        <v>133</v>
      </c>
    </row>
    <row r="215" spans="2:51" s="14" customFormat="1" ht="12">
      <c r="B215" s="155"/>
      <c r="D215" s="149" t="s">
        <v>139</v>
      </c>
      <c r="E215" s="156" t="s">
        <v>3</v>
      </c>
      <c r="F215" s="157">
        <v>17.47</v>
      </c>
      <c r="H215" s="158">
        <f>F215</f>
        <v>17.47</v>
      </c>
      <c r="I215" s="271"/>
      <c r="L215" s="155"/>
      <c r="M215" s="159"/>
      <c r="N215" s="160"/>
      <c r="O215" s="160"/>
      <c r="P215" s="160"/>
      <c r="Q215" s="160"/>
      <c r="R215" s="160"/>
      <c r="S215" s="160"/>
      <c r="T215" s="161"/>
      <c r="AT215" s="156" t="s">
        <v>139</v>
      </c>
      <c r="AU215" s="156" t="s">
        <v>82</v>
      </c>
      <c r="AV215" s="14" t="s">
        <v>82</v>
      </c>
      <c r="AW215" s="14" t="s">
        <v>34</v>
      </c>
      <c r="AX215" s="14" t="s">
        <v>72</v>
      </c>
      <c r="AY215" s="156" t="s">
        <v>133</v>
      </c>
    </row>
    <row r="216" spans="2:51" s="13" customFormat="1" ht="12">
      <c r="B216" s="148"/>
      <c r="D216" s="149" t="s">
        <v>139</v>
      </c>
      <c r="E216" s="150" t="s">
        <v>3</v>
      </c>
      <c r="F216" s="151">
        <v>103</v>
      </c>
      <c r="H216" s="150" t="s">
        <v>3</v>
      </c>
      <c r="I216" s="273"/>
      <c r="L216" s="148"/>
      <c r="M216" s="152"/>
      <c r="N216" s="153"/>
      <c r="O216" s="153"/>
      <c r="P216" s="153"/>
      <c r="Q216" s="153"/>
      <c r="R216" s="153"/>
      <c r="S216" s="153"/>
      <c r="T216" s="154"/>
      <c r="AT216" s="150" t="s">
        <v>139</v>
      </c>
      <c r="AU216" s="150" t="s">
        <v>82</v>
      </c>
      <c r="AV216" s="13" t="s">
        <v>80</v>
      </c>
      <c r="AW216" s="13" t="s">
        <v>34</v>
      </c>
      <c r="AX216" s="13" t="s">
        <v>72</v>
      </c>
      <c r="AY216" s="150" t="s">
        <v>133</v>
      </c>
    </row>
    <row r="217" spans="2:51" s="14" customFormat="1" ht="12">
      <c r="B217" s="155"/>
      <c r="D217" s="149" t="s">
        <v>139</v>
      </c>
      <c r="E217" s="156" t="s">
        <v>3</v>
      </c>
      <c r="F217" s="157">
        <v>20.94</v>
      </c>
      <c r="H217" s="158">
        <f>F217</f>
        <v>20.94</v>
      </c>
      <c r="I217" s="271"/>
      <c r="L217" s="155"/>
      <c r="M217" s="159"/>
      <c r="N217" s="160"/>
      <c r="O217" s="160"/>
      <c r="P217" s="160"/>
      <c r="Q217" s="160"/>
      <c r="R217" s="160"/>
      <c r="S217" s="160"/>
      <c r="T217" s="161"/>
      <c r="AT217" s="156" t="s">
        <v>139</v>
      </c>
      <c r="AU217" s="156" t="s">
        <v>82</v>
      </c>
      <c r="AV217" s="14" t="s">
        <v>82</v>
      </c>
      <c r="AW217" s="14" t="s">
        <v>34</v>
      </c>
      <c r="AX217" s="14" t="s">
        <v>72</v>
      </c>
      <c r="AY217" s="156" t="s">
        <v>133</v>
      </c>
    </row>
    <row r="218" spans="2:51" s="15" customFormat="1" ht="12">
      <c r="B218" s="165"/>
      <c r="D218" s="149" t="s">
        <v>139</v>
      </c>
      <c r="E218" s="166" t="s">
        <v>3</v>
      </c>
      <c r="F218" s="167" t="s">
        <v>143</v>
      </c>
      <c r="H218" s="168">
        <f>H213+H215+H217</f>
        <v>52.17</v>
      </c>
      <c r="I218" s="274"/>
      <c r="L218" s="165"/>
      <c r="M218" s="169"/>
      <c r="N218" s="170"/>
      <c r="O218" s="170"/>
      <c r="P218" s="170"/>
      <c r="Q218" s="170"/>
      <c r="R218" s="170"/>
      <c r="S218" s="170"/>
      <c r="T218" s="171"/>
      <c r="AT218" s="166" t="s">
        <v>139</v>
      </c>
      <c r="AU218" s="166" t="s">
        <v>82</v>
      </c>
      <c r="AV218" s="15" t="s">
        <v>138</v>
      </c>
      <c r="AW218" s="15" t="s">
        <v>34</v>
      </c>
      <c r="AX218" s="15" t="s">
        <v>80</v>
      </c>
      <c r="AY218" s="166" t="s">
        <v>133</v>
      </c>
    </row>
    <row r="219" spans="1:65" s="2" customFormat="1" ht="24.2" customHeight="1">
      <c r="A219" s="30"/>
      <c r="B219" s="135"/>
      <c r="C219" s="281">
        <v>39</v>
      </c>
      <c r="D219" s="281" t="s">
        <v>146</v>
      </c>
      <c r="E219" s="282" t="s">
        <v>264</v>
      </c>
      <c r="F219" s="283" t="s">
        <v>887</v>
      </c>
      <c r="G219" s="284" t="s">
        <v>149</v>
      </c>
      <c r="H219" s="285">
        <f>H211*1.2</f>
        <v>62.604</v>
      </c>
      <c r="I219" s="272"/>
      <c r="J219" s="272">
        <f>ROUND(I219*H219,2)</f>
        <v>0</v>
      </c>
      <c r="K219" s="283" t="s">
        <v>137</v>
      </c>
      <c r="L219" s="178"/>
      <c r="M219" s="179" t="s">
        <v>3</v>
      </c>
      <c r="N219" s="180" t="s">
        <v>43</v>
      </c>
      <c r="O219" s="144">
        <v>0</v>
      </c>
      <c r="P219" s="144">
        <f>O219*H219</f>
        <v>0</v>
      </c>
      <c r="Q219" s="144">
        <v>0.007</v>
      </c>
      <c r="R219" s="144">
        <f>Q219*H219</f>
        <v>0.438228</v>
      </c>
      <c r="S219" s="144">
        <v>0</v>
      </c>
      <c r="T219" s="145">
        <f>S219*H219</f>
        <v>0</v>
      </c>
      <c r="U219" s="30"/>
      <c r="V219" s="267"/>
      <c r="W219" s="267"/>
      <c r="X219" s="30"/>
      <c r="Y219" s="30"/>
      <c r="Z219" s="30"/>
      <c r="AA219" s="30"/>
      <c r="AB219" s="30"/>
      <c r="AC219" s="30"/>
      <c r="AD219" s="30"/>
      <c r="AE219" s="30"/>
      <c r="AR219" s="146" t="s">
        <v>162</v>
      </c>
      <c r="AT219" s="146" t="s">
        <v>146</v>
      </c>
      <c r="AU219" s="146" t="s">
        <v>82</v>
      </c>
      <c r="AY219" s="18" t="s">
        <v>133</v>
      </c>
      <c r="BE219" s="147">
        <f>IF(N219="základní",J219,0)</f>
        <v>0</v>
      </c>
      <c r="BF219" s="147">
        <f>IF(N219="snížená",J219,0)</f>
        <v>0</v>
      </c>
      <c r="BG219" s="147">
        <f>IF(N219="zákl. přenesená",J219,0)</f>
        <v>0</v>
      </c>
      <c r="BH219" s="147">
        <f>IF(N219="sníž. přenesená",J219,0)</f>
        <v>0</v>
      </c>
      <c r="BI219" s="147">
        <f>IF(N219="nulová",J219,0)</f>
        <v>0</v>
      </c>
      <c r="BJ219" s="18" t="s">
        <v>80</v>
      </c>
      <c r="BK219" s="147">
        <f>ROUND(I219*H219,2)</f>
        <v>0</v>
      </c>
      <c r="BL219" s="18" t="s">
        <v>154</v>
      </c>
      <c r="BM219" s="146" t="s">
        <v>265</v>
      </c>
    </row>
    <row r="220" spans="1:47" s="2" customFormat="1" ht="29.25">
      <c r="A220" s="30"/>
      <c r="B220" s="31"/>
      <c r="C220" s="270"/>
      <c r="D220" s="286" t="s">
        <v>170</v>
      </c>
      <c r="E220" s="270"/>
      <c r="F220" s="287" t="s">
        <v>266</v>
      </c>
      <c r="G220" s="270"/>
      <c r="H220" s="270"/>
      <c r="I220" s="270"/>
      <c r="J220" s="270"/>
      <c r="K220" s="270"/>
      <c r="L220" s="31"/>
      <c r="M220" s="163"/>
      <c r="N220" s="164"/>
      <c r="O220" s="51"/>
      <c r="P220" s="51"/>
      <c r="Q220" s="51"/>
      <c r="R220" s="51"/>
      <c r="S220" s="51"/>
      <c r="T220" s="52"/>
      <c r="U220" s="30"/>
      <c r="V220" s="30"/>
      <c r="W220" s="30"/>
      <c r="X220" s="30"/>
      <c r="Y220" s="30"/>
      <c r="Z220" s="30"/>
      <c r="AA220" s="30"/>
      <c r="AB220" s="30"/>
      <c r="AC220" s="30"/>
      <c r="AD220" s="30"/>
      <c r="AE220" s="30"/>
      <c r="AT220" s="18" t="s">
        <v>170</v>
      </c>
      <c r="AU220" s="18" t="s">
        <v>82</v>
      </c>
    </row>
    <row r="221" spans="2:51" s="14" customFormat="1" ht="12">
      <c r="B221" s="155"/>
      <c r="C221" s="271"/>
      <c r="D221" s="286" t="s">
        <v>139</v>
      </c>
      <c r="E221" s="271"/>
      <c r="F221" s="288" t="s">
        <v>988</v>
      </c>
      <c r="G221" s="271"/>
      <c r="H221" s="289">
        <f>H219</f>
        <v>62.604</v>
      </c>
      <c r="I221" s="271"/>
      <c r="J221" s="271"/>
      <c r="K221" s="271"/>
      <c r="L221" s="155"/>
      <c r="M221" s="159"/>
      <c r="N221" s="160"/>
      <c r="O221" s="160"/>
      <c r="P221" s="160"/>
      <c r="Q221" s="160"/>
      <c r="R221" s="160"/>
      <c r="S221" s="160"/>
      <c r="T221" s="161"/>
      <c r="AT221" s="156" t="s">
        <v>139</v>
      </c>
      <c r="AU221" s="156" t="s">
        <v>82</v>
      </c>
      <c r="AV221" s="14" t="s">
        <v>82</v>
      </c>
      <c r="AW221" s="14" t="s">
        <v>4</v>
      </c>
      <c r="AX221" s="14" t="s">
        <v>80</v>
      </c>
      <c r="AY221" s="156" t="s">
        <v>133</v>
      </c>
    </row>
    <row r="222" spans="1:65" s="2" customFormat="1" ht="14.45" customHeight="1">
      <c r="A222" s="30"/>
      <c r="B222" s="135"/>
      <c r="C222" s="136">
        <v>40</v>
      </c>
      <c r="D222" s="136" t="s">
        <v>136</v>
      </c>
      <c r="E222" s="137" t="s">
        <v>267</v>
      </c>
      <c r="F222" s="138" t="s">
        <v>268</v>
      </c>
      <c r="G222" s="139" t="s">
        <v>151</v>
      </c>
      <c r="H222" s="140">
        <f>H230</f>
        <v>53.08</v>
      </c>
      <c r="I222" s="269"/>
      <c r="J222" s="141">
        <f>ROUND(I222*H222,2)</f>
        <v>0</v>
      </c>
      <c r="K222" s="138" t="s">
        <v>141</v>
      </c>
      <c r="L222" s="31"/>
      <c r="M222" s="142" t="s">
        <v>3</v>
      </c>
      <c r="N222" s="143" t="s">
        <v>43</v>
      </c>
      <c r="O222" s="144">
        <v>0.1</v>
      </c>
      <c r="P222" s="144">
        <f>O222*H222</f>
        <v>5.308</v>
      </c>
      <c r="Q222" s="144">
        <v>0</v>
      </c>
      <c r="R222" s="144">
        <f>Q222*H222</f>
        <v>0</v>
      </c>
      <c r="S222" s="144">
        <v>0</v>
      </c>
      <c r="T222" s="145">
        <f>S222*H222</f>
        <v>0</v>
      </c>
      <c r="U222" s="30"/>
      <c r="V222" s="30"/>
      <c r="W222" s="30"/>
      <c r="X222" s="30"/>
      <c r="Y222" s="30"/>
      <c r="Z222" s="30"/>
      <c r="AA222" s="30"/>
      <c r="AB222" s="30"/>
      <c r="AC222" s="30"/>
      <c r="AD222" s="30"/>
      <c r="AE222" s="30"/>
      <c r="AR222" s="146" t="s">
        <v>154</v>
      </c>
      <c r="AT222" s="146" t="s">
        <v>136</v>
      </c>
      <c r="AU222" s="146" t="s">
        <v>82</v>
      </c>
      <c r="AY222" s="18" t="s">
        <v>133</v>
      </c>
      <c r="BE222" s="147">
        <f>IF(N222="základní",J222,0)</f>
        <v>0</v>
      </c>
      <c r="BF222" s="147">
        <f>IF(N222="snížená",J222,0)</f>
        <v>0</v>
      </c>
      <c r="BG222" s="147">
        <f>IF(N222="zákl. přenesená",J222,0)</f>
        <v>0</v>
      </c>
      <c r="BH222" s="147">
        <f>IF(N222="sníž. přenesená",J222,0)</f>
        <v>0</v>
      </c>
      <c r="BI222" s="147">
        <f>IF(N222="nulová",J222,0)</f>
        <v>0</v>
      </c>
      <c r="BJ222" s="18" t="s">
        <v>80</v>
      </c>
      <c r="BK222" s="147">
        <f>ROUND(I222*H222,2)</f>
        <v>0</v>
      </c>
      <c r="BL222" s="18" t="s">
        <v>154</v>
      </c>
      <c r="BM222" s="146" t="s">
        <v>269</v>
      </c>
    </row>
    <row r="223" spans="1:47" s="2" customFormat="1" ht="39">
      <c r="A223" s="30"/>
      <c r="B223" s="31"/>
      <c r="C223" s="30"/>
      <c r="D223" s="149" t="s">
        <v>142</v>
      </c>
      <c r="E223" s="30"/>
      <c r="F223" s="162" t="s">
        <v>270</v>
      </c>
      <c r="G223" s="30"/>
      <c r="H223" s="30"/>
      <c r="I223" s="270"/>
      <c r="J223" s="30"/>
      <c r="K223" s="30"/>
      <c r="L223" s="31"/>
      <c r="M223" s="163"/>
      <c r="N223" s="164"/>
      <c r="O223" s="51"/>
      <c r="P223" s="51"/>
      <c r="Q223" s="51"/>
      <c r="R223" s="51"/>
      <c r="S223" s="51"/>
      <c r="T223" s="52"/>
      <c r="U223" s="30"/>
      <c r="V223" s="30"/>
      <c r="W223" s="30"/>
      <c r="X223" s="30"/>
      <c r="Y223" s="30"/>
      <c r="Z223" s="30"/>
      <c r="AA223" s="30"/>
      <c r="AB223" s="30"/>
      <c r="AC223" s="30"/>
      <c r="AD223" s="30"/>
      <c r="AE223" s="30"/>
      <c r="AT223" s="18" t="s">
        <v>142</v>
      </c>
      <c r="AU223" s="18" t="s">
        <v>82</v>
      </c>
    </row>
    <row r="224" spans="2:51" s="13" customFormat="1" ht="12">
      <c r="B224" s="148"/>
      <c r="D224" s="149" t="s">
        <v>139</v>
      </c>
      <c r="E224" s="150" t="s">
        <v>3</v>
      </c>
      <c r="F224" s="151">
        <v>101</v>
      </c>
      <c r="H224" s="150" t="s">
        <v>3</v>
      </c>
      <c r="I224" s="273"/>
      <c r="L224" s="148"/>
      <c r="M224" s="152"/>
      <c r="N224" s="153"/>
      <c r="O224" s="153"/>
      <c r="P224" s="153"/>
      <c r="Q224" s="153"/>
      <c r="R224" s="153"/>
      <c r="S224" s="153"/>
      <c r="T224" s="154"/>
      <c r="AT224" s="150" t="s">
        <v>139</v>
      </c>
      <c r="AU224" s="150" t="s">
        <v>82</v>
      </c>
      <c r="AV224" s="13" t="s">
        <v>80</v>
      </c>
      <c r="AW224" s="13" t="s">
        <v>34</v>
      </c>
      <c r="AX224" s="13" t="s">
        <v>72</v>
      </c>
      <c r="AY224" s="150" t="s">
        <v>133</v>
      </c>
    </row>
    <row r="225" spans="2:51" s="14" customFormat="1" ht="12">
      <c r="B225" s="155"/>
      <c r="D225" s="149" t="s">
        <v>139</v>
      </c>
      <c r="E225" s="156" t="s">
        <v>3</v>
      </c>
      <c r="F225" s="157">
        <v>15.58</v>
      </c>
      <c r="H225" s="158">
        <f>F225</f>
        <v>15.58</v>
      </c>
      <c r="I225" s="271"/>
      <c r="L225" s="155"/>
      <c r="M225" s="159"/>
      <c r="N225" s="160"/>
      <c r="O225" s="160"/>
      <c r="P225" s="160"/>
      <c r="Q225" s="160"/>
      <c r="R225" s="160"/>
      <c r="S225" s="160"/>
      <c r="T225" s="161"/>
      <c r="AT225" s="156" t="s">
        <v>139</v>
      </c>
      <c r="AU225" s="156" t="s">
        <v>82</v>
      </c>
      <c r="AV225" s="14" t="s">
        <v>82</v>
      </c>
      <c r="AW225" s="14" t="s">
        <v>34</v>
      </c>
      <c r="AX225" s="14" t="s">
        <v>72</v>
      </c>
      <c r="AY225" s="156" t="s">
        <v>133</v>
      </c>
    </row>
    <row r="226" spans="2:51" s="13" customFormat="1" ht="12">
      <c r="B226" s="148"/>
      <c r="D226" s="149" t="s">
        <v>139</v>
      </c>
      <c r="E226" s="150" t="s">
        <v>3</v>
      </c>
      <c r="F226" s="151">
        <v>102</v>
      </c>
      <c r="H226" s="150" t="s">
        <v>3</v>
      </c>
      <c r="I226" s="273"/>
      <c r="L226" s="148"/>
      <c r="M226" s="152"/>
      <c r="N226" s="153"/>
      <c r="O226" s="153"/>
      <c r="P226" s="153"/>
      <c r="Q226" s="153"/>
      <c r="R226" s="153"/>
      <c r="S226" s="153"/>
      <c r="T226" s="154"/>
      <c r="AT226" s="150" t="s">
        <v>139</v>
      </c>
      <c r="AU226" s="150" t="s">
        <v>82</v>
      </c>
      <c r="AV226" s="13" t="s">
        <v>80</v>
      </c>
      <c r="AW226" s="13" t="s">
        <v>34</v>
      </c>
      <c r="AX226" s="13" t="s">
        <v>72</v>
      </c>
      <c r="AY226" s="150" t="s">
        <v>133</v>
      </c>
    </row>
    <row r="227" spans="2:51" s="14" customFormat="1" ht="12">
      <c r="B227" s="155"/>
      <c r="D227" s="149" t="s">
        <v>139</v>
      </c>
      <c r="E227" s="156" t="s">
        <v>3</v>
      </c>
      <c r="F227" s="157">
        <v>16.44</v>
      </c>
      <c r="H227" s="158">
        <f>F227</f>
        <v>16.44</v>
      </c>
      <c r="I227" s="271"/>
      <c r="L227" s="155"/>
      <c r="M227" s="159"/>
      <c r="N227" s="160"/>
      <c r="O227" s="160"/>
      <c r="P227" s="160"/>
      <c r="Q227" s="160"/>
      <c r="R227" s="160"/>
      <c r="S227" s="160"/>
      <c r="T227" s="161"/>
      <c r="AT227" s="156" t="s">
        <v>139</v>
      </c>
      <c r="AU227" s="156" t="s">
        <v>82</v>
      </c>
      <c r="AV227" s="14" t="s">
        <v>82</v>
      </c>
      <c r="AW227" s="14" t="s">
        <v>34</v>
      </c>
      <c r="AX227" s="14" t="s">
        <v>72</v>
      </c>
      <c r="AY227" s="156" t="s">
        <v>133</v>
      </c>
    </row>
    <row r="228" spans="2:51" s="13" customFormat="1" ht="12">
      <c r="B228" s="148"/>
      <c r="D228" s="149" t="s">
        <v>139</v>
      </c>
      <c r="E228" s="150" t="s">
        <v>3</v>
      </c>
      <c r="F228" s="151">
        <v>103</v>
      </c>
      <c r="H228" s="150" t="s">
        <v>3</v>
      </c>
      <c r="I228" s="273"/>
      <c r="L228" s="148"/>
      <c r="M228" s="152"/>
      <c r="N228" s="153"/>
      <c r="O228" s="153"/>
      <c r="P228" s="153"/>
      <c r="Q228" s="153"/>
      <c r="R228" s="153"/>
      <c r="S228" s="153"/>
      <c r="T228" s="154"/>
      <c r="AT228" s="150" t="s">
        <v>139</v>
      </c>
      <c r="AU228" s="150" t="s">
        <v>82</v>
      </c>
      <c r="AV228" s="13" t="s">
        <v>80</v>
      </c>
      <c r="AW228" s="13" t="s">
        <v>34</v>
      </c>
      <c r="AX228" s="13" t="s">
        <v>72</v>
      </c>
      <c r="AY228" s="150" t="s">
        <v>133</v>
      </c>
    </row>
    <row r="229" spans="2:51" s="14" customFormat="1" ht="12">
      <c r="B229" s="155"/>
      <c r="D229" s="149" t="s">
        <v>139</v>
      </c>
      <c r="E229" s="156" t="s">
        <v>3</v>
      </c>
      <c r="F229" s="157">
        <v>21.06</v>
      </c>
      <c r="H229" s="158">
        <f>F229</f>
        <v>21.06</v>
      </c>
      <c r="I229" s="271"/>
      <c r="L229" s="155"/>
      <c r="M229" s="159"/>
      <c r="N229" s="160"/>
      <c r="O229" s="160"/>
      <c r="P229" s="160"/>
      <c r="Q229" s="160"/>
      <c r="R229" s="160"/>
      <c r="S229" s="160"/>
      <c r="T229" s="161"/>
      <c r="AT229" s="156" t="s">
        <v>139</v>
      </c>
      <c r="AU229" s="156" t="s">
        <v>82</v>
      </c>
      <c r="AV229" s="14" t="s">
        <v>82</v>
      </c>
      <c r="AW229" s="14" t="s">
        <v>34</v>
      </c>
      <c r="AX229" s="14" t="s">
        <v>72</v>
      </c>
      <c r="AY229" s="156" t="s">
        <v>133</v>
      </c>
    </row>
    <row r="230" spans="2:51" s="15" customFormat="1" ht="12">
      <c r="B230" s="165"/>
      <c r="D230" s="149" t="s">
        <v>139</v>
      </c>
      <c r="E230" s="166" t="s">
        <v>3</v>
      </c>
      <c r="F230" s="167" t="s">
        <v>143</v>
      </c>
      <c r="H230" s="168">
        <f>H225+H227+H229</f>
        <v>53.08</v>
      </c>
      <c r="I230" s="274"/>
      <c r="L230" s="165"/>
      <c r="M230" s="169"/>
      <c r="N230" s="170"/>
      <c r="O230" s="170"/>
      <c r="P230" s="170"/>
      <c r="Q230" s="170"/>
      <c r="R230" s="170"/>
      <c r="S230" s="170"/>
      <c r="T230" s="171"/>
      <c r="AT230" s="166" t="s">
        <v>139</v>
      </c>
      <c r="AU230" s="166" t="s">
        <v>82</v>
      </c>
      <c r="AV230" s="15" t="s">
        <v>138</v>
      </c>
      <c r="AW230" s="15" t="s">
        <v>34</v>
      </c>
      <c r="AX230" s="15" t="s">
        <v>80</v>
      </c>
      <c r="AY230" s="166" t="s">
        <v>133</v>
      </c>
    </row>
    <row r="231" spans="1:65" s="2" customFormat="1" ht="24.2" customHeight="1">
      <c r="A231" s="30"/>
      <c r="B231" s="135"/>
      <c r="C231" s="172">
        <v>41</v>
      </c>
      <c r="D231" s="172" t="s">
        <v>146</v>
      </c>
      <c r="E231" s="173" t="s">
        <v>271</v>
      </c>
      <c r="F231" s="174" t="s">
        <v>272</v>
      </c>
      <c r="G231" s="175" t="s">
        <v>151</v>
      </c>
      <c r="H231" s="176">
        <f>H233</f>
        <v>58.388000000000005</v>
      </c>
      <c r="I231" s="272"/>
      <c r="J231" s="177">
        <f>ROUND(I231*H231,2)</f>
        <v>0</v>
      </c>
      <c r="K231" s="174" t="s">
        <v>137</v>
      </c>
      <c r="L231" s="178"/>
      <c r="M231" s="179" t="s">
        <v>3</v>
      </c>
      <c r="N231" s="180" t="s">
        <v>43</v>
      </c>
      <c r="O231" s="144">
        <v>0</v>
      </c>
      <c r="P231" s="144">
        <f>O231*H231</f>
        <v>0</v>
      </c>
      <c r="Q231" s="144">
        <v>0.00028</v>
      </c>
      <c r="R231" s="144">
        <f>Q231*H231</f>
        <v>0.01634864</v>
      </c>
      <c r="S231" s="144">
        <v>0</v>
      </c>
      <c r="T231" s="145">
        <f>S231*H231</f>
        <v>0</v>
      </c>
      <c r="U231" s="30"/>
      <c r="V231" s="30"/>
      <c r="W231" s="30"/>
      <c r="X231" s="30"/>
      <c r="Y231" s="30"/>
      <c r="Z231" s="30"/>
      <c r="AA231" s="30"/>
      <c r="AB231" s="30"/>
      <c r="AC231" s="30"/>
      <c r="AD231" s="30"/>
      <c r="AE231" s="30"/>
      <c r="AR231" s="146" t="s">
        <v>162</v>
      </c>
      <c r="AT231" s="146" t="s">
        <v>146</v>
      </c>
      <c r="AU231" s="146" t="s">
        <v>82</v>
      </c>
      <c r="AY231" s="18" t="s">
        <v>133</v>
      </c>
      <c r="BE231" s="147">
        <f>IF(N231="základní",J231,0)</f>
        <v>0</v>
      </c>
      <c r="BF231" s="147">
        <f>IF(N231="snížená",J231,0)</f>
        <v>0</v>
      </c>
      <c r="BG231" s="147">
        <f>IF(N231="zákl. přenesená",J231,0)</f>
        <v>0</v>
      </c>
      <c r="BH231" s="147">
        <f>IF(N231="sníž. přenesená",J231,0)</f>
        <v>0</v>
      </c>
      <c r="BI231" s="147">
        <f>IF(N231="nulová",J231,0)</f>
        <v>0</v>
      </c>
      <c r="BJ231" s="18" t="s">
        <v>80</v>
      </c>
      <c r="BK231" s="147">
        <f>ROUND(I231*H231,2)</f>
        <v>0</v>
      </c>
      <c r="BL231" s="18" t="s">
        <v>154</v>
      </c>
      <c r="BM231" s="146" t="s">
        <v>273</v>
      </c>
    </row>
    <row r="232" spans="1:47" s="2" customFormat="1" ht="19.5">
      <c r="A232" s="30"/>
      <c r="B232" s="31"/>
      <c r="C232" s="30"/>
      <c r="D232" s="149" t="s">
        <v>170</v>
      </c>
      <c r="E232" s="30"/>
      <c r="F232" s="162" t="s">
        <v>938</v>
      </c>
      <c r="G232" s="30"/>
      <c r="H232" s="30"/>
      <c r="I232" s="270"/>
      <c r="J232" s="30"/>
      <c r="K232" s="30"/>
      <c r="L232" s="31"/>
      <c r="M232" s="163"/>
      <c r="N232" s="164"/>
      <c r="O232" s="51"/>
      <c r="P232" s="51"/>
      <c r="Q232" s="51"/>
      <c r="R232" s="51"/>
      <c r="S232" s="51"/>
      <c r="T232" s="52"/>
      <c r="U232" s="30"/>
      <c r="V232" s="30"/>
      <c r="W232" s="30"/>
      <c r="X232" s="30"/>
      <c r="Y232" s="30"/>
      <c r="Z232" s="30"/>
      <c r="AA232" s="30"/>
      <c r="AB232" s="30"/>
      <c r="AC232" s="30"/>
      <c r="AD232" s="30"/>
      <c r="AE232" s="30"/>
      <c r="AT232" s="18" t="s">
        <v>170</v>
      </c>
      <c r="AU232" s="18" t="s">
        <v>82</v>
      </c>
    </row>
    <row r="233" spans="2:51" s="14" customFormat="1" ht="12">
      <c r="B233" s="155"/>
      <c r="D233" s="149" t="s">
        <v>139</v>
      </c>
      <c r="F233" s="157" t="s">
        <v>989</v>
      </c>
      <c r="H233" s="158">
        <f>H222*1.1</f>
        <v>58.388000000000005</v>
      </c>
      <c r="I233" s="271"/>
      <c r="L233" s="155"/>
      <c r="M233" s="159"/>
      <c r="N233" s="160"/>
      <c r="O233" s="160"/>
      <c r="P233" s="160"/>
      <c r="Q233" s="160"/>
      <c r="R233" s="160"/>
      <c r="S233" s="160"/>
      <c r="T233" s="161"/>
      <c r="AT233" s="156" t="s">
        <v>139</v>
      </c>
      <c r="AU233" s="156" t="s">
        <v>82</v>
      </c>
      <c r="AV233" s="14" t="s">
        <v>82</v>
      </c>
      <c r="AW233" s="14" t="s">
        <v>4</v>
      </c>
      <c r="AX233" s="14" t="s">
        <v>80</v>
      </c>
      <c r="AY233" s="156" t="s">
        <v>133</v>
      </c>
    </row>
    <row r="234" spans="1:65" s="2" customFormat="1" ht="14.45" customHeight="1">
      <c r="A234" s="30"/>
      <c r="B234" s="135"/>
      <c r="C234" s="136">
        <v>42</v>
      </c>
      <c r="D234" s="136" t="s">
        <v>136</v>
      </c>
      <c r="E234" s="137" t="s">
        <v>274</v>
      </c>
      <c r="F234" s="138" t="s">
        <v>275</v>
      </c>
      <c r="G234" s="139" t="s">
        <v>151</v>
      </c>
      <c r="H234" s="140">
        <v>5</v>
      </c>
      <c r="I234" s="269"/>
      <c r="J234" s="141">
        <f>ROUND(I234*H234,2)</f>
        <v>0</v>
      </c>
      <c r="K234" s="138" t="s">
        <v>141</v>
      </c>
      <c r="L234" s="31"/>
      <c r="M234" s="142" t="s">
        <v>3</v>
      </c>
      <c r="N234" s="143" t="s">
        <v>43</v>
      </c>
      <c r="O234" s="144">
        <v>0.12</v>
      </c>
      <c r="P234" s="144">
        <f>O234*H234</f>
        <v>0.6</v>
      </c>
      <c r="Q234" s="144">
        <v>4E-05</v>
      </c>
      <c r="R234" s="144">
        <f>Q234*H234</f>
        <v>0.0002</v>
      </c>
      <c r="S234" s="144">
        <v>0</v>
      </c>
      <c r="T234" s="145">
        <f>S234*H234</f>
        <v>0</v>
      </c>
      <c r="U234" s="30"/>
      <c r="V234" s="30"/>
      <c r="W234" s="30"/>
      <c r="X234" s="30"/>
      <c r="Y234" s="30"/>
      <c r="Z234" s="30"/>
      <c r="AA234" s="30"/>
      <c r="AB234" s="30"/>
      <c r="AC234" s="30"/>
      <c r="AD234" s="30"/>
      <c r="AE234" s="30"/>
      <c r="AR234" s="146" t="s">
        <v>154</v>
      </c>
      <c r="AT234" s="146" t="s">
        <v>136</v>
      </c>
      <c r="AU234" s="146" t="s">
        <v>82</v>
      </c>
      <c r="AY234" s="18" t="s">
        <v>133</v>
      </c>
      <c r="BE234" s="147">
        <f>IF(N234="základní",J234,0)</f>
        <v>0</v>
      </c>
      <c r="BF234" s="147">
        <f>IF(N234="snížená",J234,0)</f>
        <v>0</v>
      </c>
      <c r="BG234" s="147">
        <f>IF(N234="zákl. přenesená",J234,0)</f>
        <v>0</v>
      </c>
      <c r="BH234" s="147">
        <f>IF(N234="sníž. přenesená",J234,0)</f>
        <v>0</v>
      </c>
      <c r="BI234" s="147">
        <f>IF(N234="nulová",J234,0)</f>
        <v>0</v>
      </c>
      <c r="BJ234" s="18" t="s">
        <v>80</v>
      </c>
      <c r="BK234" s="147">
        <f>ROUND(I234*H234,2)</f>
        <v>0</v>
      </c>
      <c r="BL234" s="18" t="s">
        <v>154</v>
      </c>
      <c r="BM234" s="146" t="s">
        <v>276</v>
      </c>
    </row>
    <row r="235" spans="1:47" s="2" customFormat="1" ht="48.75">
      <c r="A235" s="30"/>
      <c r="B235" s="31"/>
      <c r="C235" s="30"/>
      <c r="D235" s="149" t="s">
        <v>142</v>
      </c>
      <c r="E235" s="30"/>
      <c r="F235" s="162" t="s">
        <v>277</v>
      </c>
      <c r="G235" s="30"/>
      <c r="H235" s="30"/>
      <c r="I235" s="270"/>
      <c r="J235" s="30"/>
      <c r="K235" s="30"/>
      <c r="L235" s="31"/>
      <c r="M235" s="163"/>
      <c r="N235" s="164"/>
      <c r="O235" s="51"/>
      <c r="P235" s="51"/>
      <c r="Q235" s="51"/>
      <c r="R235" s="51"/>
      <c r="S235" s="51"/>
      <c r="T235" s="52"/>
      <c r="U235" s="30"/>
      <c r="V235" s="30"/>
      <c r="W235" s="30"/>
      <c r="X235" s="30"/>
      <c r="Y235" s="30"/>
      <c r="Z235" s="30"/>
      <c r="AA235" s="30"/>
      <c r="AB235" s="30"/>
      <c r="AC235" s="30"/>
      <c r="AD235" s="30"/>
      <c r="AE235" s="30"/>
      <c r="AT235" s="18" t="s">
        <v>142</v>
      </c>
      <c r="AU235" s="18" t="s">
        <v>82</v>
      </c>
    </row>
    <row r="236" spans="1:65" s="2" customFormat="1" ht="14.45" customHeight="1">
      <c r="A236" s="30"/>
      <c r="B236" s="135"/>
      <c r="C236" s="172">
        <v>43</v>
      </c>
      <c r="D236" s="172" t="s">
        <v>146</v>
      </c>
      <c r="E236" s="173" t="s">
        <v>278</v>
      </c>
      <c r="F236" s="174" t="s">
        <v>279</v>
      </c>
      <c r="G236" s="175" t="s">
        <v>151</v>
      </c>
      <c r="H236" s="176">
        <f>H234</f>
        <v>5</v>
      </c>
      <c r="I236" s="272"/>
      <c r="J236" s="177">
        <f>ROUND(I236*H236,2)</f>
        <v>0</v>
      </c>
      <c r="K236" s="174" t="s">
        <v>137</v>
      </c>
      <c r="L236" s="178"/>
      <c r="M236" s="179" t="s">
        <v>3</v>
      </c>
      <c r="N236" s="180" t="s">
        <v>43</v>
      </c>
      <c r="O236" s="144">
        <v>0</v>
      </c>
      <c r="P236" s="144">
        <f>O236*H236</f>
        <v>0</v>
      </c>
      <c r="Q236" s="144">
        <v>0.00017</v>
      </c>
      <c r="R236" s="144">
        <f>Q236*H236</f>
        <v>0.0008500000000000001</v>
      </c>
      <c r="S236" s="144">
        <v>0</v>
      </c>
      <c r="T236" s="145">
        <f>S236*H236</f>
        <v>0</v>
      </c>
      <c r="U236" s="30"/>
      <c r="V236" s="30"/>
      <c r="W236" s="30"/>
      <c r="X236" s="30"/>
      <c r="Y236" s="30"/>
      <c r="Z236" s="30"/>
      <c r="AA236" s="30"/>
      <c r="AB236" s="30"/>
      <c r="AC236" s="30"/>
      <c r="AD236" s="30"/>
      <c r="AE236" s="30"/>
      <c r="AR236" s="146" t="s">
        <v>162</v>
      </c>
      <c r="AT236" s="146" t="s">
        <v>146</v>
      </c>
      <c r="AU236" s="146" t="s">
        <v>82</v>
      </c>
      <c r="AY236" s="18" t="s">
        <v>133</v>
      </c>
      <c r="BE236" s="147">
        <f>IF(N236="základní",J236,0)</f>
        <v>0</v>
      </c>
      <c r="BF236" s="147">
        <f>IF(N236="snížená",J236,0)</f>
        <v>0</v>
      </c>
      <c r="BG236" s="147">
        <f>IF(N236="zákl. přenesená",J236,0)</f>
        <v>0</v>
      </c>
      <c r="BH236" s="147">
        <f>IF(N236="sníž. přenesená",J236,0)</f>
        <v>0</v>
      </c>
      <c r="BI236" s="147">
        <f>IF(N236="nulová",J236,0)</f>
        <v>0</v>
      </c>
      <c r="BJ236" s="18" t="s">
        <v>80</v>
      </c>
      <c r="BK236" s="147">
        <f>ROUND(I236*H236,2)</f>
        <v>0</v>
      </c>
      <c r="BL236" s="18" t="s">
        <v>154</v>
      </c>
      <c r="BM236" s="146" t="s">
        <v>280</v>
      </c>
    </row>
    <row r="237" spans="1:65" s="2" customFormat="1" ht="24.2" customHeight="1">
      <c r="A237" s="30"/>
      <c r="B237" s="135"/>
      <c r="C237" s="136">
        <v>44</v>
      </c>
      <c r="D237" s="136" t="s">
        <v>136</v>
      </c>
      <c r="E237" s="137" t="s">
        <v>288</v>
      </c>
      <c r="F237" s="138" t="s">
        <v>289</v>
      </c>
      <c r="G237" s="139" t="s">
        <v>149</v>
      </c>
      <c r="H237" s="140">
        <f>H246</f>
        <v>52.17</v>
      </c>
      <c r="I237" s="269"/>
      <c r="J237" s="141">
        <f>ROUND(I237*H237,2)</f>
        <v>0</v>
      </c>
      <c r="K237" s="138" t="s">
        <v>141</v>
      </c>
      <c r="L237" s="31"/>
      <c r="M237" s="142" t="s">
        <v>3</v>
      </c>
      <c r="N237" s="143" t="s">
        <v>43</v>
      </c>
      <c r="O237" s="144">
        <v>0.105</v>
      </c>
      <c r="P237" s="144">
        <f>O237*H237</f>
        <v>5.47785</v>
      </c>
      <c r="Q237" s="144">
        <v>0</v>
      </c>
      <c r="R237" s="144">
        <f>Q237*H237</f>
        <v>0</v>
      </c>
      <c r="S237" s="144">
        <v>0.0025</v>
      </c>
      <c r="T237" s="145">
        <f>S237*H237</f>
        <v>0.130425</v>
      </c>
      <c r="U237" s="30"/>
      <c r="V237" s="30"/>
      <c r="W237" s="30"/>
      <c r="X237" s="30"/>
      <c r="Y237" s="30"/>
      <c r="Z237" s="30"/>
      <c r="AA237" s="30"/>
      <c r="AB237" s="30"/>
      <c r="AC237" s="30"/>
      <c r="AD237" s="30"/>
      <c r="AE237" s="30"/>
      <c r="AR237" s="146" t="s">
        <v>154</v>
      </c>
      <c r="AT237" s="146" t="s">
        <v>136</v>
      </c>
      <c r="AU237" s="146" t="s">
        <v>82</v>
      </c>
      <c r="AY237" s="18" t="s">
        <v>133</v>
      </c>
      <c r="BE237" s="147">
        <f>IF(N237="základní",J237,0)</f>
        <v>0</v>
      </c>
      <c r="BF237" s="147">
        <f>IF(N237="snížená",J237,0)</f>
        <v>0</v>
      </c>
      <c r="BG237" s="147">
        <f>IF(N237="zákl. přenesená",J237,0)</f>
        <v>0</v>
      </c>
      <c r="BH237" s="147">
        <f>IF(N237="sníž. přenesená",J237,0)</f>
        <v>0</v>
      </c>
      <c r="BI237" s="147">
        <f>IF(N237="nulová",J237,0)</f>
        <v>0</v>
      </c>
      <c r="BJ237" s="18" t="s">
        <v>80</v>
      </c>
      <c r="BK237" s="147">
        <f>ROUND(I237*H237,2)</f>
        <v>0</v>
      </c>
      <c r="BL237" s="18" t="s">
        <v>154</v>
      </c>
      <c r="BM237" s="146" t="s">
        <v>290</v>
      </c>
    </row>
    <row r="238" spans="1:47" s="2" customFormat="1" ht="19.5">
      <c r="A238" s="30"/>
      <c r="B238" s="31"/>
      <c r="C238" s="30"/>
      <c r="D238" s="149" t="s">
        <v>170</v>
      </c>
      <c r="E238" s="30"/>
      <c r="F238" s="162" t="s">
        <v>291</v>
      </c>
      <c r="G238" s="30"/>
      <c r="H238" s="30"/>
      <c r="I238" s="270"/>
      <c r="J238" s="30"/>
      <c r="K238" s="30"/>
      <c r="L238" s="31"/>
      <c r="M238" s="163"/>
      <c r="N238" s="164"/>
      <c r="O238" s="51"/>
      <c r="P238" s="51"/>
      <c r="Q238" s="51"/>
      <c r="R238" s="51"/>
      <c r="S238" s="51"/>
      <c r="T238" s="52"/>
      <c r="U238" s="30"/>
      <c r="V238" s="30"/>
      <c r="W238" s="30"/>
      <c r="X238" s="30"/>
      <c r="Y238" s="30"/>
      <c r="Z238" s="30"/>
      <c r="AA238" s="30"/>
      <c r="AB238" s="30"/>
      <c r="AC238" s="30"/>
      <c r="AD238" s="30"/>
      <c r="AE238" s="30"/>
      <c r="AT238" s="18" t="s">
        <v>170</v>
      </c>
      <c r="AU238" s="18" t="s">
        <v>82</v>
      </c>
    </row>
    <row r="239" spans="2:51" s="13" customFormat="1" ht="22.5">
      <c r="B239" s="148"/>
      <c r="D239" s="149" t="s">
        <v>139</v>
      </c>
      <c r="E239" s="150" t="s">
        <v>3</v>
      </c>
      <c r="F239" s="151" t="s">
        <v>155</v>
      </c>
      <c r="H239" s="150" t="s">
        <v>3</v>
      </c>
      <c r="I239" s="273"/>
      <c r="L239" s="148"/>
      <c r="M239" s="152"/>
      <c r="N239" s="153"/>
      <c r="O239" s="153"/>
      <c r="P239" s="153"/>
      <c r="Q239" s="153"/>
      <c r="R239" s="153"/>
      <c r="S239" s="153"/>
      <c r="T239" s="154"/>
      <c r="AT239" s="150" t="s">
        <v>139</v>
      </c>
      <c r="AU239" s="150" t="s">
        <v>82</v>
      </c>
      <c r="AV239" s="13" t="s">
        <v>80</v>
      </c>
      <c r="AW239" s="13" t="s">
        <v>34</v>
      </c>
      <c r="AX239" s="13" t="s">
        <v>72</v>
      </c>
      <c r="AY239" s="150" t="s">
        <v>133</v>
      </c>
    </row>
    <row r="240" spans="2:51" s="13" customFormat="1" ht="12">
      <c r="B240" s="148"/>
      <c r="D240" s="149" t="s">
        <v>139</v>
      </c>
      <c r="E240" s="150" t="s">
        <v>3</v>
      </c>
      <c r="F240" s="151">
        <v>101</v>
      </c>
      <c r="H240" s="150" t="s">
        <v>3</v>
      </c>
      <c r="I240" s="273"/>
      <c r="L240" s="148"/>
      <c r="M240" s="152"/>
      <c r="N240" s="153"/>
      <c r="O240" s="153"/>
      <c r="P240" s="153"/>
      <c r="Q240" s="153"/>
      <c r="R240" s="153"/>
      <c r="S240" s="153"/>
      <c r="T240" s="154"/>
      <c r="AT240" s="150" t="s">
        <v>139</v>
      </c>
      <c r="AU240" s="150" t="s">
        <v>82</v>
      </c>
      <c r="AV240" s="13" t="s">
        <v>80</v>
      </c>
      <c r="AW240" s="13" t="s">
        <v>34</v>
      </c>
      <c r="AX240" s="13" t="s">
        <v>72</v>
      </c>
      <c r="AY240" s="150" t="s">
        <v>133</v>
      </c>
    </row>
    <row r="241" spans="2:51" s="14" customFormat="1" ht="12">
      <c r="B241" s="155"/>
      <c r="D241" s="149" t="s">
        <v>139</v>
      </c>
      <c r="E241" s="156" t="s">
        <v>3</v>
      </c>
      <c r="F241" s="157">
        <v>13.76</v>
      </c>
      <c r="H241" s="158">
        <f>F241</f>
        <v>13.76</v>
      </c>
      <c r="I241" s="271"/>
      <c r="L241" s="155"/>
      <c r="M241" s="159"/>
      <c r="N241" s="160"/>
      <c r="O241" s="160"/>
      <c r="P241" s="160"/>
      <c r="Q241" s="160"/>
      <c r="R241" s="160"/>
      <c r="S241" s="160"/>
      <c r="T241" s="161"/>
      <c r="AT241" s="156" t="s">
        <v>139</v>
      </c>
      <c r="AU241" s="156" t="s">
        <v>82</v>
      </c>
      <c r="AV241" s="14" t="s">
        <v>82</v>
      </c>
      <c r="AW241" s="14" t="s">
        <v>34</v>
      </c>
      <c r="AX241" s="14" t="s">
        <v>72</v>
      </c>
      <c r="AY241" s="156" t="s">
        <v>133</v>
      </c>
    </row>
    <row r="242" spans="2:51" s="13" customFormat="1" ht="12">
      <c r="B242" s="148"/>
      <c r="D242" s="149" t="s">
        <v>139</v>
      </c>
      <c r="E242" s="150" t="s">
        <v>3</v>
      </c>
      <c r="F242" s="151">
        <v>102</v>
      </c>
      <c r="H242" s="150" t="s">
        <v>3</v>
      </c>
      <c r="I242" s="273"/>
      <c r="L242" s="148"/>
      <c r="M242" s="152"/>
      <c r="N242" s="153"/>
      <c r="O242" s="153"/>
      <c r="P242" s="153"/>
      <c r="Q242" s="153"/>
      <c r="R242" s="153"/>
      <c r="S242" s="153"/>
      <c r="T242" s="154"/>
      <c r="AT242" s="150" t="s">
        <v>139</v>
      </c>
      <c r="AU242" s="150" t="s">
        <v>82</v>
      </c>
      <c r="AV242" s="13" t="s">
        <v>80</v>
      </c>
      <c r="AW242" s="13" t="s">
        <v>34</v>
      </c>
      <c r="AX242" s="13" t="s">
        <v>72</v>
      </c>
      <c r="AY242" s="150" t="s">
        <v>133</v>
      </c>
    </row>
    <row r="243" spans="2:51" s="14" customFormat="1" ht="12">
      <c r="B243" s="155"/>
      <c r="D243" s="149" t="s">
        <v>139</v>
      </c>
      <c r="E243" s="156" t="s">
        <v>3</v>
      </c>
      <c r="F243" s="157">
        <v>17.47</v>
      </c>
      <c r="H243" s="158">
        <f>F243</f>
        <v>17.47</v>
      </c>
      <c r="I243" s="271"/>
      <c r="L243" s="155"/>
      <c r="M243" s="159"/>
      <c r="N243" s="160"/>
      <c r="O243" s="160"/>
      <c r="P243" s="160"/>
      <c r="Q243" s="160"/>
      <c r="R243" s="160"/>
      <c r="S243" s="160"/>
      <c r="T243" s="161"/>
      <c r="AT243" s="156" t="s">
        <v>139</v>
      </c>
      <c r="AU243" s="156" t="s">
        <v>82</v>
      </c>
      <c r="AV243" s="14" t="s">
        <v>82</v>
      </c>
      <c r="AW243" s="14" t="s">
        <v>34</v>
      </c>
      <c r="AX243" s="14" t="s">
        <v>72</v>
      </c>
      <c r="AY243" s="156" t="s">
        <v>133</v>
      </c>
    </row>
    <row r="244" spans="2:51" s="13" customFormat="1" ht="12">
      <c r="B244" s="148"/>
      <c r="D244" s="149" t="s">
        <v>139</v>
      </c>
      <c r="E244" s="150" t="s">
        <v>3</v>
      </c>
      <c r="F244" s="151">
        <f>F228</f>
        <v>103</v>
      </c>
      <c r="H244" s="150" t="s">
        <v>3</v>
      </c>
      <c r="I244" s="273"/>
      <c r="L244" s="148"/>
      <c r="M244" s="152"/>
      <c r="N244" s="153"/>
      <c r="O244" s="153"/>
      <c r="P244" s="153"/>
      <c r="Q244" s="153"/>
      <c r="R244" s="153"/>
      <c r="S244" s="153"/>
      <c r="T244" s="154"/>
      <c r="AT244" s="150" t="s">
        <v>139</v>
      </c>
      <c r="AU244" s="150" t="s">
        <v>82</v>
      </c>
      <c r="AV244" s="13" t="s">
        <v>80</v>
      </c>
      <c r="AW244" s="13" t="s">
        <v>34</v>
      </c>
      <c r="AX244" s="13" t="s">
        <v>72</v>
      </c>
      <c r="AY244" s="150" t="s">
        <v>133</v>
      </c>
    </row>
    <row r="245" spans="2:51" s="14" customFormat="1" ht="12">
      <c r="B245" s="155"/>
      <c r="D245" s="149" t="s">
        <v>139</v>
      </c>
      <c r="E245" s="156" t="s">
        <v>3</v>
      </c>
      <c r="F245" s="157">
        <f>F217</f>
        <v>20.94</v>
      </c>
      <c r="H245" s="158">
        <f>F245</f>
        <v>20.94</v>
      </c>
      <c r="I245" s="271"/>
      <c r="L245" s="155"/>
      <c r="M245" s="159"/>
      <c r="N245" s="160"/>
      <c r="O245" s="160"/>
      <c r="P245" s="160"/>
      <c r="Q245" s="160"/>
      <c r="R245" s="160"/>
      <c r="S245" s="160"/>
      <c r="T245" s="161"/>
      <c r="AT245" s="156" t="s">
        <v>139</v>
      </c>
      <c r="AU245" s="156" t="s">
        <v>82</v>
      </c>
      <c r="AV245" s="14" t="s">
        <v>82</v>
      </c>
      <c r="AW245" s="14" t="s">
        <v>34</v>
      </c>
      <c r="AX245" s="14" t="s">
        <v>72</v>
      </c>
      <c r="AY245" s="156" t="s">
        <v>133</v>
      </c>
    </row>
    <row r="246" spans="2:51" s="15" customFormat="1" ht="12">
      <c r="B246" s="165"/>
      <c r="D246" s="149" t="s">
        <v>139</v>
      </c>
      <c r="E246" s="166" t="s">
        <v>3</v>
      </c>
      <c r="F246" s="167" t="s">
        <v>143</v>
      </c>
      <c r="H246" s="168">
        <f>H241+H243+H245</f>
        <v>52.17</v>
      </c>
      <c r="I246" s="274"/>
      <c r="L246" s="165"/>
      <c r="M246" s="169"/>
      <c r="N246" s="170"/>
      <c r="O246" s="170"/>
      <c r="P246" s="170"/>
      <c r="Q246" s="170"/>
      <c r="R246" s="170"/>
      <c r="S246" s="170"/>
      <c r="T246" s="171"/>
      <c r="AT246" s="166" t="s">
        <v>139</v>
      </c>
      <c r="AU246" s="166" t="s">
        <v>82</v>
      </c>
      <c r="AV246" s="15" t="s">
        <v>138</v>
      </c>
      <c r="AW246" s="15" t="s">
        <v>34</v>
      </c>
      <c r="AX246" s="15" t="s">
        <v>80</v>
      </c>
      <c r="AY246" s="166" t="s">
        <v>133</v>
      </c>
    </row>
    <row r="247" spans="1:65" s="2" customFormat="1" ht="37.9" customHeight="1">
      <c r="A247" s="30"/>
      <c r="B247" s="135"/>
      <c r="C247" s="136">
        <v>45</v>
      </c>
      <c r="D247" s="136" t="s">
        <v>136</v>
      </c>
      <c r="E247" s="137" t="s">
        <v>281</v>
      </c>
      <c r="F247" s="138" t="s">
        <v>889</v>
      </c>
      <c r="G247" s="139" t="s">
        <v>229</v>
      </c>
      <c r="H247" s="140">
        <f>SUM(J211:J246)/100</f>
        <v>0</v>
      </c>
      <c r="I247" s="269"/>
      <c r="J247" s="141">
        <f>ROUND(I247*H247,2)</f>
        <v>0</v>
      </c>
      <c r="K247" s="138" t="s">
        <v>141</v>
      </c>
      <c r="L247" s="31"/>
      <c r="M247" s="142" t="s">
        <v>3</v>
      </c>
      <c r="N247" s="143" t="s">
        <v>43</v>
      </c>
      <c r="O247" s="144">
        <v>0</v>
      </c>
      <c r="P247" s="144">
        <f>O247*H247</f>
        <v>0</v>
      </c>
      <c r="Q247" s="144">
        <v>0</v>
      </c>
      <c r="R247" s="144">
        <f>Q247*H247</f>
        <v>0</v>
      </c>
      <c r="S247" s="144">
        <v>0</v>
      </c>
      <c r="T247" s="145">
        <f>S247*H247</f>
        <v>0</v>
      </c>
      <c r="U247" s="30"/>
      <c r="V247" s="30"/>
      <c r="W247" s="30"/>
      <c r="X247" s="30"/>
      <c r="Y247" s="30"/>
      <c r="Z247" s="30"/>
      <c r="AA247" s="30"/>
      <c r="AB247" s="30"/>
      <c r="AC247" s="30"/>
      <c r="AD247" s="30"/>
      <c r="AE247" s="30"/>
      <c r="AR247" s="146" t="s">
        <v>154</v>
      </c>
      <c r="AT247" s="146" t="s">
        <v>136</v>
      </c>
      <c r="AU247" s="146" t="s">
        <v>82</v>
      </c>
      <c r="AY247" s="18" t="s">
        <v>133</v>
      </c>
      <c r="BE247" s="147">
        <f>IF(N247="základní",J247,0)</f>
        <v>0</v>
      </c>
      <c r="BF247" s="147">
        <f>IF(N247="snížená",J247,0)</f>
        <v>0</v>
      </c>
      <c r="BG247" s="147">
        <f>IF(N247="zákl. přenesená",J247,0)</f>
        <v>0</v>
      </c>
      <c r="BH247" s="147">
        <f>IF(N247="sníž. přenesená",J247,0)</f>
        <v>0</v>
      </c>
      <c r="BI247" s="147">
        <f>IF(N247="nulová",J247,0)</f>
        <v>0</v>
      </c>
      <c r="BJ247" s="18" t="s">
        <v>80</v>
      </c>
      <c r="BK247" s="147">
        <f>ROUND(I247*H247,2)</f>
        <v>0</v>
      </c>
      <c r="BL247" s="18" t="s">
        <v>154</v>
      </c>
      <c r="BM247" s="146" t="s">
        <v>282</v>
      </c>
    </row>
    <row r="248" spans="1:47" s="2" customFormat="1" ht="126.75">
      <c r="A248" s="30"/>
      <c r="B248" s="31"/>
      <c r="C248" s="30"/>
      <c r="D248" s="149" t="s">
        <v>142</v>
      </c>
      <c r="E248" s="30"/>
      <c r="F248" s="162" t="s">
        <v>283</v>
      </c>
      <c r="G248" s="30"/>
      <c r="H248" s="30"/>
      <c r="I248" s="270"/>
      <c r="J248" s="30"/>
      <c r="K248" s="30"/>
      <c r="L248" s="31"/>
      <c r="M248" s="163"/>
      <c r="N248" s="164"/>
      <c r="O248" s="51"/>
      <c r="P248" s="51"/>
      <c r="Q248" s="51"/>
      <c r="R248" s="51"/>
      <c r="S248" s="51"/>
      <c r="T248" s="52"/>
      <c r="U248" s="30"/>
      <c r="V248" s="30"/>
      <c r="W248" s="30"/>
      <c r="X248" s="30"/>
      <c r="Y248" s="30"/>
      <c r="Z248" s="30"/>
      <c r="AA248" s="30"/>
      <c r="AB248" s="30"/>
      <c r="AC248" s="30"/>
      <c r="AD248" s="30"/>
      <c r="AE248" s="30"/>
      <c r="AT248" s="18" t="s">
        <v>142</v>
      </c>
      <c r="AU248" s="18" t="s">
        <v>82</v>
      </c>
    </row>
    <row r="249" spans="1:65" s="2" customFormat="1" ht="49.15" customHeight="1">
      <c r="A249" s="30"/>
      <c r="B249" s="135"/>
      <c r="C249" s="136">
        <v>46</v>
      </c>
      <c r="D249" s="136" t="s">
        <v>136</v>
      </c>
      <c r="E249" s="137" t="s">
        <v>284</v>
      </c>
      <c r="F249" s="138" t="s">
        <v>890</v>
      </c>
      <c r="G249" s="139" t="s">
        <v>229</v>
      </c>
      <c r="H249" s="140">
        <f>H247</f>
        <v>0</v>
      </c>
      <c r="I249" s="269"/>
      <c r="J249" s="141">
        <f>ROUND(I249*H249,2)</f>
        <v>0</v>
      </c>
      <c r="K249" s="138" t="s">
        <v>141</v>
      </c>
      <c r="L249" s="31"/>
      <c r="M249" s="142" t="s">
        <v>3</v>
      </c>
      <c r="N249" s="143" t="s">
        <v>43</v>
      </c>
      <c r="O249" s="144">
        <v>0</v>
      </c>
      <c r="P249" s="144">
        <f>O249*H249</f>
        <v>0</v>
      </c>
      <c r="Q249" s="144">
        <v>0</v>
      </c>
      <c r="R249" s="144">
        <f>Q249*H249</f>
        <v>0</v>
      </c>
      <c r="S249" s="144">
        <v>0</v>
      </c>
      <c r="T249" s="145">
        <f>S249*H249</f>
        <v>0</v>
      </c>
      <c r="U249" s="30"/>
      <c r="V249" s="30"/>
      <c r="W249" s="30"/>
      <c r="X249" s="30"/>
      <c r="Y249" s="30"/>
      <c r="Z249" s="30"/>
      <c r="AA249" s="30"/>
      <c r="AB249" s="30"/>
      <c r="AC249" s="30"/>
      <c r="AD249" s="30"/>
      <c r="AE249" s="30"/>
      <c r="AR249" s="146" t="s">
        <v>154</v>
      </c>
      <c r="AT249" s="146" t="s">
        <v>136</v>
      </c>
      <c r="AU249" s="146" t="s">
        <v>82</v>
      </c>
      <c r="AY249" s="18" t="s">
        <v>133</v>
      </c>
      <c r="BE249" s="147">
        <f>IF(N249="základní",J249,0)</f>
        <v>0</v>
      </c>
      <c r="BF249" s="147">
        <f>IF(N249="snížená",J249,0)</f>
        <v>0</v>
      </c>
      <c r="BG249" s="147">
        <f>IF(N249="zákl. přenesená",J249,0)</f>
        <v>0</v>
      </c>
      <c r="BH249" s="147">
        <f>IF(N249="sníž. přenesená",J249,0)</f>
        <v>0</v>
      </c>
      <c r="BI249" s="147">
        <f>IF(N249="nulová",J249,0)</f>
        <v>0</v>
      </c>
      <c r="BJ249" s="18" t="s">
        <v>80</v>
      </c>
      <c r="BK249" s="147">
        <f>ROUND(I249*H249,2)</f>
        <v>0</v>
      </c>
      <c r="BL249" s="18" t="s">
        <v>154</v>
      </c>
      <c r="BM249" s="146" t="s">
        <v>285</v>
      </c>
    </row>
    <row r="250" spans="1:47" s="2" customFormat="1" ht="126.75">
      <c r="A250" s="30"/>
      <c r="B250" s="31"/>
      <c r="C250" s="30"/>
      <c r="D250" s="149" t="s">
        <v>142</v>
      </c>
      <c r="E250" s="30"/>
      <c r="F250" s="162" t="s">
        <v>283</v>
      </c>
      <c r="G250" s="30"/>
      <c r="H250" s="30"/>
      <c r="I250" s="270"/>
      <c r="J250" s="30"/>
      <c r="K250" s="30"/>
      <c r="L250" s="31"/>
      <c r="M250" s="163"/>
      <c r="N250" s="164"/>
      <c r="O250" s="51"/>
      <c r="P250" s="51"/>
      <c r="Q250" s="51"/>
      <c r="R250" s="51"/>
      <c r="S250" s="51"/>
      <c r="T250" s="52"/>
      <c r="U250" s="30"/>
      <c r="V250" s="30"/>
      <c r="W250" s="30"/>
      <c r="X250" s="30"/>
      <c r="Y250" s="30"/>
      <c r="Z250" s="30"/>
      <c r="AA250" s="30"/>
      <c r="AB250" s="30"/>
      <c r="AC250" s="30"/>
      <c r="AD250" s="30"/>
      <c r="AE250" s="30"/>
      <c r="AT250" s="18" t="s">
        <v>142</v>
      </c>
      <c r="AU250" s="18" t="s">
        <v>82</v>
      </c>
    </row>
    <row r="251" spans="2:63" s="12" customFormat="1" ht="22.9" customHeight="1">
      <c r="B251" s="123"/>
      <c r="D251" s="124" t="s">
        <v>71</v>
      </c>
      <c r="E251" s="133" t="s">
        <v>292</v>
      </c>
      <c r="F251" s="133" t="s">
        <v>293</v>
      </c>
      <c r="I251" s="275"/>
      <c r="J251" s="134">
        <f>SUM(J252:J284)</f>
        <v>0</v>
      </c>
      <c r="L251" s="123"/>
      <c r="M251" s="127"/>
      <c r="N251" s="128"/>
      <c r="O251" s="128"/>
      <c r="P251" s="129">
        <f>SUM(P252:P284)</f>
        <v>25.791359999999997</v>
      </c>
      <c r="Q251" s="128"/>
      <c r="R251" s="129">
        <f>SUM(R252:R284)</f>
        <v>0.306648</v>
      </c>
      <c r="S251" s="128"/>
      <c r="T251" s="130">
        <f>SUM(T252:T284)</f>
        <v>0</v>
      </c>
      <c r="AR251" s="124" t="s">
        <v>82</v>
      </c>
      <c r="AT251" s="131" t="s">
        <v>71</v>
      </c>
      <c r="AU251" s="131" t="s">
        <v>80</v>
      </c>
      <c r="AY251" s="124" t="s">
        <v>133</v>
      </c>
      <c r="BK251" s="132">
        <f>SUM(BK252:BK284)</f>
        <v>0</v>
      </c>
    </row>
    <row r="252" spans="1:65" s="2" customFormat="1" ht="24.2" customHeight="1">
      <c r="A252" s="30"/>
      <c r="B252" s="135"/>
      <c r="C252" s="136">
        <v>47</v>
      </c>
      <c r="D252" s="136" t="s">
        <v>136</v>
      </c>
      <c r="E252" s="137" t="s">
        <v>294</v>
      </c>
      <c r="F252" s="138" t="s">
        <v>295</v>
      </c>
      <c r="G252" s="139" t="s">
        <v>149</v>
      </c>
      <c r="H252" s="140">
        <f>H255</f>
        <v>5.76</v>
      </c>
      <c r="I252" s="269"/>
      <c r="J252" s="141">
        <f>ROUND(I252*H252,2)</f>
        <v>0</v>
      </c>
      <c r="K252" s="138" t="s">
        <v>141</v>
      </c>
      <c r="L252" s="31"/>
      <c r="M252" s="142" t="s">
        <v>3</v>
      </c>
      <c r="N252" s="143" t="s">
        <v>43</v>
      </c>
      <c r="O252" s="144">
        <v>0.012</v>
      </c>
      <c r="P252" s="144">
        <f>O252*H252</f>
        <v>0.06912</v>
      </c>
      <c r="Q252" s="144">
        <v>0</v>
      </c>
      <c r="R252" s="144">
        <f>Q252*H252</f>
        <v>0</v>
      </c>
      <c r="S252" s="144">
        <v>0</v>
      </c>
      <c r="T252" s="145">
        <f>S252*H252</f>
        <v>0</v>
      </c>
      <c r="U252" s="30"/>
      <c r="V252" s="30"/>
      <c r="W252" s="30"/>
      <c r="X252" s="30"/>
      <c r="Y252" s="30"/>
      <c r="Z252" s="30"/>
      <c r="AA252" s="30"/>
      <c r="AB252" s="30"/>
      <c r="AC252" s="30"/>
      <c r="AD252" s="30"/>
      <c r="AE252" s="30"/>
      <c r="AR252" s="146" t="s">
        <v>154</v>
      </c>
      <c r="AT252" s="146" t="s">
        <v>136</v>
      </c>
      <c r="AU252" s="146" t="s">
        <v>82</v>
      </c>
      <c r="AY252" s="18" t="s">
        <v>133</v>
      </c>
      <c r="BE252" s="147">
        <f>IF(N252="základní",J252,0)</f>
        <v>0</v>
      </c>
      <c r="BF252" s="147">
        <f>IF(N252="snížená",J252,0)</f>
        <v>0</v>
      </c>
      <c r="BG252" s="147">
        <f>IF(N252="zákl. přenesená",J252,0)</f>
        <v>0</v>
      </c>
      <c r="BH252" s="147">
        <f>IF(N252="sníž. přenesená",J252,0)</f>
        <v>0</v>
      </c>
      <c r="BI252" s="147">
        <f>IF(N252="nulová",J252,0)</f>
        <v>0</v>
      </c>
      <c r="BJ252" s="18" t="s">
        <v>80</v>
      </c>
      <c r="BK252" s="147">
        <f>ROUND(I252*H252,2)</f>
        <v>0</v>
      </c>
      <c r="BL252" s="18" t="s">
        <v>154</v>
      </c>
      <c r="BM252" s="146" t="s">
        <v>296</v>
      </c>
    </row>
    <row r="253" spans="1:47" s="2" customFormat="1" ht="107.25">
      <c r="A253" s="30"/>
      <c r="B253" s="31"/>
      <c r="C253" s="30"/>
      <c r="D253" s="149" t="s">
        <v>142</v>
      </c>
      <c r="E253" s="30"/>
      <c r="F253" s="162" t="s">
        <v>297</v>
      </c>
      <c r="G253" s="30"/>
      <c r="H253" s="30"/>
      <c r="I253" s="270"/>
      <c r="J253" s="30"/>
      <c r="K253" s="30"/>
      <c r="L253" s="31"/>
      <c r="M253" s="163"/>
      <c r="N253" s="164"/>
      <c r="O253" s="51"/>
      <c r="P253" s="51"/>
      <c r="Q253" s="51"/>
      <c r="R253" s="51"/>
      <c r="S253" s="51"/>
      <c r="T253" s="52"/>
      <c r="U253" s="30"/>
      <c r="V253" s="30"/>
      <c r="W253" s="30"/>
      <c r="X253" s="30"/>
      <c r="Y253" s="30"/>
      <c r="Z253" s="30"/>
      <c r="AA253" s="30"/>
      <c r="AB253" s="30"/>
      <c r="AC253" s="30"/>
      <c r="AD253" s="30"/>
      <c r="AE253" s="30"/>
      <c r="AT253" s="18" t="s">
        <v>142</v>
      </c>
      <c r="AU253" s="18" t="s">
        <v>82</v>
      </c>
    </row>
    <row r="254" spans="2:51" s="13" customFormat="1" ht="12">
      <c r="B254" s="148"/>
      <c r="D254" s="149" t="s">
        <v>139</v>
      </c>
      <c r="E254" s="150" t="s">
        <v>3</v>
      </c>
      <c r="F254" s="151" t="s">
        <v>990</v>
      </c>
      <c r="H254" s="150" t="s">
        <v>3</v>
      </c>
      <c r="L254" s="148"/>
      <c r="M254" s="152"/>
      <c r="N254" s="153"/>
      <c r="O254" s="153"/>
      <c r="P254" s="153"/>
      <c r="Q254" s="153"/>
      <c r="R254" s="153"/>
      <c r="S254" s="153"/>
      <c r="T254" s="154"/>
      <c r="AT254" s="150" t="s">
        <v>139</v>
      </c>
      <c r="AU254" s="150" t="s">
        <v>82</v>
      </c>
      <c r="AV254" s="13" t="s">
        <v>80</v>
      </c>
      <c r="AW254" s="13" t="s">
        <v>34</v>
      </c>
      <c r="AX254" s="13" t="s">
        <v>72</v>
      </c>
      <c r="AY254" s="150" t="s">
        <v>133</v>
      </c>
    </row>
    <row r="255" spans="2:51" s="14" customFormat="1" ht="12">
      <c r="B255" s="155"/>
      <c r="D255" s="149" t="s">
        <v>139</v>
      </c>
      <c r="E255" s="156" t="s">
        <v>3</v>
      </c>
      <c r="F255" s="157" t="s">
        <v>1012</v>
      </c>
      <c r="H255" s="158">
        <f>(1.2+0.6)*1.2*2+1.2*1.2</f>
        <v>5.76</v>
      </c>
      <c r="L255" s="155"/>
      <c r="M255" s="159"/>
      <c r="N255" s="160"/>
      <c r="O255" s="160"/>
      <c r="P255" s="160"/>
      <c r="Q255" s="160"/>
      <c r="R255" s="160"/>
      <c r="S255" s="160"/>
      <c r="T255" s="161"/>
      <c r="AT255" s="156" t="s">
        <v>139</v>
      </c>
      <c r="AU255" s="156" t="s">
        <v>82</v>
      </c>
      <c r="AV255" s="14" t="s">
        <v>82</v>
      </c>
      <c r="AW255" s="14" t="s">
        <v>34</v>
      </c>
      <c r="AX255" s="14" t="s">
        <v>72</v>
      </c>
      <c r="AY255" s="156" t="s">
        <v>133</v>
      </c>
    </row>
    <row r="256" spans="1:65" s="2" customFormat="1" ht="24.2" customHeight="1">
      <c r="A256" s="30"/>
      <c r="B256" s="135"/>
      <c r="C256" s="136">
        <v>48</v>
      </c>
      <c r="D256" s="136" t="s">
        <v>136</v>
      </c>
      <c r="E256" s="137" t="s">
        <v>298</v>
      </c>
      <c r="F256" s="138" t="s">
        <v>299</v>
      </c>
      <c r="G256" s="139" t="s">
        <v>149</v>
      </c>
      <c r="H256" s="140">
        <f>H252</f>
        <v>5.76</v>
      </c>
      <c r="I256" s="269"/>
      <c r="J256" s="141">
        <f>ROUND(I256*H256,2)</f>
        <v>0</v>
      </c>
      <c r="K256" s="138" t="s">
        <v>141</v>
      </c>
      <c r="L256" s="31"/>
      <c r="M256" s="142" t="s">
        <v>3</v>
      </c>
      <c r="N256" s="143" t="s">
        <v>43</v>
      </c>
      <c r="O256" s="144">
        <v>0.044</v>
      </c>
      <c r="P256" s="144">
        <f>O256*H256</f>
        <v>0.25344</v>
      </c>
      <c r="Q256" s="144">
        <v>0.0003</v>
      </c>
      <c r="R256" s="144">
        <f>Q256*H256</f>
        <v>0.0017279999999999997</v>
      </c>
      <c r="S256" s="144">
        <v>0</v>
      </c>
      <c r="T256" s="145">
        <f>S256*H256</f>
        <v>0</v>
      </c>
      <c r="U256" s="30"/>
      <c r="V256" s="30"/>
      <c r="W256" s="30"/>
      <c r="X256" s="30"/>
      <c r="Y256" s="30"/>
      <c r="Z256" s="30"/>
      <c r="AA256" s="30"/>
      <c r="AB256" s="30"/>
      <c r="AC256" s="30"/>
      <c r="AD256" s="30"/>
      <c r="AE256" s="30"/>
      <c r="AR256" s="146" t="s">
        <v>154</v>
      </c>
      <c r="AT256" s="146" t="s">
        <v>136</v>
      </c>
      <c r="AU256" s="146" t="s">
        <v>82</v>
      </c>
      <c r="AY256" s="18" t="s">
        <v>133</v>
      </c>
      <c r="BE256" s="147">
        <f>IF(N256="základní",J256,0)</f>
        <v>0</v>
      </c>
      <c r="BF256" s="147">
        <f>IF(N256="snížená",J256,0)</f>
        <v>0</v>
      </c>
      <c r="BG256" s="147">
        <f>IF(N256="zákl. přenesená",J256,0)</f>
        <v>0</v>
      </c>
      <c r="BH256" s="147">
        <f>IF(N256="sníž. přenesená",J256,0)</f>
        <v>0</v>
      </c>
      <c r="BI256" s="147">
        <f>IF(N256="nulová",J256,0)</f>
        <v>0</v>
      </c>
      <c r="BJ256" s="18" t="s">
        <v>80</v>
      </c>
      <c r="BK256" s="147">
        <f>ROUND(I256*H256,2)</f>
        <v>0</v>
      </c>
      <c r="BL256" s="18" t="s">
        <v>154</v>
      </c>
      <c r="BM256" s="146" t="s">
        <v>300</v>
      </c>
    </row>
    <row r="257" spans="1:47" s="2" customFormat="1" ht="107.25">
      <c r="A257" s="30"/>
      <c r="B257" s="31"/>
      <c r="C257" s="30"/>
      <c r="D257" s="149" t="s">
        <v>142</v>
      </c>
      <c r="E257" s="30"/>
      <c r="F257" s="162" t="s">
        <v>297</v>
      </c>
      <c r="G257" s="30"/>
      <c r="H257" s="30"/>
      <c r="I257" s="270"/>
      <c r="J257" s="30"/>
      <c r="K257" s="30"/>
      <c r="L257" s="31"/>
      <c r="M257" s="163"/>
      <c r="N257" s="164"/>
      <c r="O257" s="51"/>
      <c r="P257" s="51"/>
      <c r="Q257" s="51"/>
      <c r="R257" s="51"/>
      <c r="S257" s="51"/>
      <c r="T257" s="52"/>
      <c r="U257" s="30"/>
      <c r="V257" s="30"/>
      <c r="W257" s="30"/>
      <c r="X257" s="30"/>
      <c r="Y257" s="30"/>
      <c r="Z257" s="30"/>
      <c r="AA257" s="30"/>
      <c r="AB257" s="30"/>
      <c r="AC257" s="30"/>
      <c r="AD257" s="30"/>
      <c r="AE257" s="30"/>
      <c r="AT257" s="18" t="s">
        <v>142</v>
      </c>
      <c r="AU257" s="18" t="s">
        <v>82</v>
      </c>
    </row>
    <row r="258" spans="1:65" s="2" customFormat="1" ht="24.2" customHeight="1">
      <c r="A258" s="30"/>
      <c r="B258" s="135"/>
      <c r="C258" s="136">
        <v>49</v>
      </c>
      <c r="D258" s="136" t="s">
        <v>136</v>
      </c>
      <c r="E258" s="137" t="s">
        <v>301</v>
      </c>
      <c r="F258" s="138" t="s">
        <v>302</v>
      </c>
      <c r="G258" s="139" t="s">
        <v>149</v>
      </c>
      <c r="H258" s="140">
        <f>H252</f>
        <v>5.76</v>
      </c>
      <c r="I258" s="269"/>
      <c r="J258" s="141">
        <f>ROUND(I258*H258,2)</f>
        <v>0</v>
      </c>
      <c r="K258" s="138" t="s">
        <v>141</v>
      </c>
      <c r="L258" s="31"/>
      <c r="M258" s="142" t="s">
        <v>3</v>
      </c>
      <c r="N258" s="143" t="s">
        <v>43</v>
      </c>
      <c r="O258" s="144">
        <v>0.375</v>
      </c>
      <c r="P258" s="144">
        <f>O258*H258</f>
        <v>2.16</v>
      </c>
      <c r="Q258" s="144">
        <v>0.0015</v>
      </c>
      <c r="R258" s="144">
        <f>Q258*H258</f>
        <v>0.00864</v>
      </c>
      <c r="S258" s="144">
        <v>0</v>
      </c>
      <c r="T258" s="145">
        <f>S258*H258</f>
        <v>0</v>
      </c>
      <c r="U258" s="30"/>
      <c r="V258" s="30"/>
      <c r="W258" s="30"/>
      <c r="X258" s="30"/>
      <c r="Y258" s="30"/>
      <c r="Z258" s="30"/>
      <c r="AA258" s="30"/>
      <c r="AB258" s="30"/>
      <c r="AC258" s="30"/>
      <c r="AD258" s="30"/>
      <c r="AE258" s="30"/>
      <c r="AR258" s="146" t="s">
        <v>154</v>
      </c>
      <c r="AT258" s="146" t="s">
        <v>136</v>
      </c>
      <c r="AU258" s="146" t="s">
        <v>82</v>
      </c>
      <c r="AY258" s="18" t="s">
        <v>133</v>
      </c>
      <c r="BE258" s="147">
        <f>IF(N258="základní",J258,0)</f>
        <v>0</v>
      </c>
      <c r="BF258" s="147">
        <f>IF(N258="snížená",J258,0)</f>
        <v>0</v>
      </c>
      <c r="BG258" s="147">
        <f>IF(N258="zákl. přenesená",J258,0)</f>
        <v>0</v>
      </c>
      <c r="BH258" s="147">
        <f>IF(N258="sníž. přenesená",J258,0)</f>
        <v>0</v>
      </c>
      <c r="BI258" s="147">
        <f>IF(N258="nulová",J258,0)</f>
        <v>0</v>
      </c>
      <c r="BJ258" s="18" t="s">
        <v>80</v>
      </c>
      <c r="BK258" s="147">
        <f>ROUND(I258*H258,2)</f>
        <v>0</v>
      </c>
      <c r="BL258" s="18" t="s">
        <v>154</v>
      </c>
      <c r="BM258" s="146" t="s">
        <v>303</v>
      </c>
    </row>
    <row r="259" spans="1:47" s="2" customFormat="1" ht="87.75">
      <c r="A259" s="30"/>
      <c r="B259" s="31"/>
      <c r="C259" s="30"/>
      <c r="D259" s="149" t="s">
        <v>142</v>
      </c>
      <c r="E259" s="30"/>
      <c r="F259" s="162" t="s">
        <v>304</v>
      </c>
      <c r="G259" s="30"/>
      <c r="H259" s="30"/>
      <c r="I259" s="270"/>
      <c r="J259" s="30"/>
      <c r="K259" s="30"/>
      <c r="L259" s="31"/>
      <c r="M259" s="163"/>
      <c r="N259" s="164"/>
      <c r="O259" s="51"/>
      <c r="P259" s="51"/>
      <c r="Q259" s="51"/>
      <c r="R259" s="51"/>
      <c r="S259" s="51"/>
      <c r="T259" s="52"/>
      <c r="U259" s="30"/>
      <c r="V259" s="30"/>
      <c r="W259" s="30"/>
      <c r="X259" s="30"/>
      <c r="Y259" s="30"/>
      <c r="Z259" s="30"/>
      <c r="AA259" s="30"/>
      <c r="AB259" s="30"/>
      <c r="AC259" s="30"/>
      <c r="AD259" s="30"/>
      <c r="AE259" s="30"/>
      <c r="AT259" s="18" t="s">
        <v>142</v>
      </c>
      <c r="AU259" s="18" t="s">
        <v>82</v>
      </c>
    </row>
    <row r="260" spans="1:65" s="2" customFormat="1" ht="37.9" customHeight="1">
      <c r="A260" s="30"/>
      <c r="B260" s="135"/>
      <c r="C260" s="136">
        <v>50</v>
      </c>
      <c r="D260" s="136" t="s">
        <v>136</v>
      </c>
      <c r="E260" s="137" t="s">
        <v>305</v>
      </c>
      <c r="F260" s="138" t="s">
        <v>306</v>
      </c>
      <c r="G260" s="139" t="s">
        <v>149</v>
      </c>
      <c r="H260" s="140">
        <f>H252</f>
        <v>5.76</v>
      </c>
      <c r="I260" s="269"/>
      <c r="J260" s="141">
        <f>ROUND(I260*H260,2)</f>
        <v>0</v>
      </c>
      <c r="K260" s="138" t="s">
        <v>141</v>
      </c>
      <c r="L260" s="31"/>
      <c r="M260" s="142" t="s">
        <v>3</v>
      </c>
      <c r="N260" s="143" t="s">
        <v>43</v>
      </c>
      <c r="O260" s="144">
        <v>1.45</v>
      </c>
      <c r="P260" s="144">
        <f>O260*H260</f>
        <v>8.352</v>
      </c>
      <c r="Q260" s="144">
        <v>0.009</v>
      </c>
      <c r="R260" s="144">
        <f>Q260*H260</f>
        <v>0.05184</v>
      </c>
      <c r="S260" s="144">
        <v>0</v>
      </c>
      <c r="T260" s="145">
        <f>S260*H260</f>
        <v>0</v>
      </c>
      <c r="U260" s="30"/>
      <c r="V260" s="30"/>
      <c r="W260" s="30"/>
      <c r="X260" s="30"/>
      <c r="Y260" s="30"/>
      <c r="Z260" s="30"/>
      <c r="AA260" s="30"/>
      <c r="AB260" s="30"/>
      <c r="AC260" s="30"/>
      <c r="AD260" s="30"/>
      <c r="AE260" s="30"/>
      <c r="AR260" s="146" t="s">
        <v>154</v>
      </c>
      <c r="AT260" s="146" t="s">
        <v>136</v>
      </c>
      <c r="AU260" s="146" t="s">
        <v>82</v>
      </c>
      <c r="AY260" s="18" t="s">
        <v>133</v>
      </c>
      <c r="BE260" s="147">
        <f>IF(N260="základní",J260,0)</f>
        <v>0</v>
      </c>
      <c r="BF260" s="147">
        <f>IF(N260="snížená",J260,0)</f>
        <v>0</v>
      </c>
      <c r="BG260" s="147">
        <f>IF(N260="zákl. přenesená",J260,0)</f>
        <v>0</v>
      </c>
      <c r="BH260" s="147">
        <f>IF(N260="sníž. přenesená",J260,0)</f>
        <v>0</v>
      </c>
      <c r="BI260" s="147">
        <f>IF(N260="nulová",J260,0)</f>
        <v>0</v>
      </c>
      <c r="BJ260" s="18" t="s">
        <v>80</v>
      </c>
      <c r="BK260" s="147">
        <f>ROUND(I260*H260,2)</f>
        <v>0</v>
      </c>
      <c r="BL260" s="18" t="s">
        <v>154</v>
      </c>
      <c r="BM260" s="146" t="s">
        <v>307</v>
      </c>
    </row>
    <row r="261" spans="1:47" s="2" customFormat="1" ht="29.25">
      <c r="A261" s="30"/>
      <c r="B261" s="31"/>
      <c r="C261" s="30"/>
      <c r="D261" s="149" t="s">
        <v>142</v>
      </c>
      <c r="E261" s="30"/>
      <c r="F261" s="162" t="s">
        <v>308</v>
      </c>
      <c r="G261" s="30"/>
      <c r="H261" s="30"/>
      <c r="I261" s="270"/>
      <c r="J261" s="30"/>
      <c r="K261" s="30"/>
      <c r="L261" s="31"/>
      <c r="M261" s="163"/>
      <c r="N261" s="164"/>
      <c r="O261" s="51"/>
      <c r="P261" s="51"/>
      <c r="Q261" s="51"/>
      <c r="R261" s="51"/>
      <c r="S261" s="51"/>
      <c r="T261" s="52"/>
      <c r="U261" s="30"/>
      <c r="V261" s="30"/>
      <c r="W261" s="30"/>
      <c r="X261" s="30"/>
      <c r="Y261" s="30"/>
      <c r="Z261" s="30"/>
      <c r="AA261" s="30"/>
      <c r="AB261" s="30"/>
      <c r="AC261" s="30"/>
      <c r="AD261" s="30"/>
      <c r="AE261" s="30"/>
      <c r="AT261" s="18" t="s">
        <v>142</v>
      </c>
      <c r="AU261" s="18" t="s">
        <v>82</v>
      </c>
    </row>
    <row r="262" spans="1:65" s="2" customFormat="1" ht="37.9" customHeight="1">
      <c r="A262" s="30"/>
      <c r="B262" s="135"/>
      <c r="C262" s="172">
        <v>51</v>
      </c>
      <c r="D262" s="172" t="s">
        <v>146</v>
      </c>
      <c r="E262" s="173" t="s">
        <v>259</v>
      </c>
      <c r="F262" s="174" t="s">
        <v>932</v>
      </c>
      <c r="G262" s="175" t="s">
        <v>149</v>
      </c>
      <c r="H262" s="176">
        <f>H264</f>
        <v>7.199999999999999</v>
      </c>
      <c r="I262" s="272"/>
      <c r="J262" s="177">
        <f>ROUND(I262*H262,2)</f>
        <v>0</v>
      </c>
      <c r="K262" s="174" t="s">
        <v>137</v>
      </c>
      <c r="L262" s="178"/>
      <c r="M262" s="179" t="s">
        <v>3</v>
      </c>
      <c r="N262" s="180" t="s">
        <v>43</v>
      </c>
      <c r="O262" s="144">
        <v>0</v>
      </c>
      <c r="P262" s="144">
        <f>O262*H262</f>
        <v>0</v>
      </c>
      <c r="Q262" s="144">
        <v>0.025</v>
      </c>
      <c r="R262" s="144">
        <f>Q262*H262</f>
        <v>0.18</v>
      </c>
      <c r="S262" s="144">
        <v>0</v>
      </c>
      <c r="T262" s="145">
        <f>S262*H262</f>
        <v>0</v>
      </c>
      <c r="U262" s="30"/>
      <c r="V262" s="30"/>
      <c r="W262" s="30"/>
      <c r="X262" s="30"/>
      <c r="Y262" s="30"/>
      <c r="Z262" s="30"/>
      <c r="AA262" s="30"/>
      <c r="AB262" s="30"/>
      <c r="AC262" s="30"/>
      <c r="AD262" s="30"/>
      <c r="AE262" s="30"/>
      <c r="AR262" s="146" t="s">
        <v>162</v>
      </c>
      <c r="AT262" s="146" t="s">
        <v>146</v>
      </c>
      <c r="AU262" s="146" t="s">
        <v>82</v>
      </c>
      <c r="AY262" s="18" t="s">
        <v>133</v>
      </c>
      <c r="BE262" s="147">
        <f>IF(N262="základní",J262,0)</f>
        <v>0</v>
      </c>
      <c r="BF262" s="147">
        <f>IF(N262="snížená",J262,0)</f>
        <v>0</v>
      </c>
      <c r="BG262" s="147">
        <f>IF(N262="zákl. přenesená",J262,0)</f>
        <v>0</v>
      </c>
      <c r="BH262" s="147">
        <f>IF(N262="sníž. přenesená",J262,0)</f>
        <v>0</v>
      </c>
      <c r="BI262" s="147">
        <f>IF(N262="nulová",J262,0)</f>
        <v>0</v>
      </c>
      <c r="BJ262" s="18" t="s">
        <v>80</v>
      </c>
      <c r="BK262" s="147">
        <f>ROUND(I262*H262,2)</f>
        <v>0</v>
      </c>
      <c r="BL262" s="18" t="s">
        <v>154</v>
      </c>
      <c r="BM262" s="146" t="s">
        <v>309</v>
      </c>
    </row>
    <row r="263" spans="1:47" s="2" customFormat="1" ht="29.25">
      <c r="A263" s="30"/>
      <c r="B263" s="31"/>
      <c r="C263" s="30"/>
      <c r="D263" s="149" t="s">
        <v>170</v>
      </c>
      <c r="E263" s="30"/>
      <c r="F263" s="162" t="s">
        <v>260</v>
      </c>
      <c r="G263" s="30"/>
      <c r="H263" s="30"/>
      <c r="I263" s="270"/>
      <c r="J263" s="30"/>
      <c r="K263" s="30"/>
      <c r="L263" s="31"/>
      <c r="M263" s="163"/>
      <c r="N263" s="164"/>
      <c r="O263" s="51"/>
      <c r="P263" s="51"/>
      <c r="Q263" s="51"/>
      <c r="R263" s="51"/>
      <c r="S263" s="51"/>
      <c r="T263" s="52"/>
      <c r="U263" s="30"/>
      <c r="V263" s="30"/>
      <c r="W263" s="30"/>
      <c r="X263" s="30"/>
      <c r="Y263" s="30"/>
      <c r="Z263" s="30"/>
      <c r="AA263" s="30"/>
      <c r="AB263" s="30"/>
      <c r="AC263" s="30"/>
      <c r="AD263" s="30"/>
      <c r="AE263" s="30"/>
      <c r="AT263" s="18" t="s">
        <v>170</v>
      </c>
      <c r="AU263" s="18" t="s">
        <v>82</v>
      </c>
    </row>
    <row r="264" spans="2:51" s="14" customFormat="1" ht="12">
      <c r="B264" s="155"/>
      <c r="D264" s="149" t="s">
        <v>139</v>
      </c>
      <c r="F264" s="157" t="s">
        <v>1013</v>
      </c>
      <c r="H264" s="158">
        <f>H260*1.25</f>
        <v>7.199999999999999</v>
      </c>
      <c r="I264" s="271"/>
      <c r="L264" s="155"/>
      <c r="M264" s="159"/>
      <c r="N264" s="160"/>
      <c r="O264" s="160"/>
      <c r="P264" s="160"/>
      <c r="Q264" s="160"/>
      <c r="R264" s="160"/>
      <c r="S264" s="160"/>
      <c r="T264" s="161"/>
      <c r="AT264" s="156" t="s">
        <v>139</v>
      </c>
      <c r="AU264" s="156" t="s">
        <v>82</v>
      </c>
      <c r="AV264" s="14" t="s">
        <v>82</v>
      </c>
      <c r="AW264" s="14" t="s">
        <v>4</v>
      </c>
      <c r="AX264" s="14" t="s">
        <v>80</v>
      </c>
      <c r="AY264" s="156" t="s">
        <v>133</v>
      </c>
    </row>
    <row r="265" spans="1:65" s="2" customFormat="1" ht="37.9" customHeight="1">
      <c r="A265" s="30"/>
      <c r="B265" s="135"/>
      <c r="C265" s="136">
        <v>52</v>
      </c>
      <c r="D265" s="136" t="s">
        <v>136</v>
      </c>
      <c r="E265" s="137" t="s">
        <v>310</v>
      </c>
      <c r="F265" s="138" t="s">
        <v>311</v>
      </c>
      <c r="G265" s="139" t="s">
        <v>149</v>
      </c>
      <c r="H265" s="140">
        <f>H260</f>
        <v>5.76</v>
      </c>
      <c r="I265" s="269"/>
      <c r="J265" s="141">
        <f>ROUND(I265*H265,2)</f>
        <v>0</v>
      </c>
      <c r="K265" s="138" t="s">
        <v>141</v>
      </c>
      <c r="L265" s="31"/>
      <c r="M265" s="142" t="s">
        <v>3</v>
      </c>
      <c r="N265" s="143" t="s">
        <v>43</v>
      </c>
      <c r="O265" s="144">
        <v>1.35</v>
      </c>
      <c r="P265" s="144">
        <f>O265*H265</f>
        <v>7.776</v>
      </c>
      <c r="Q265" s="144">
        <v>0.009</v>
      </c>
      <c r="R265" s="144">
        <f>Q265*H265</f>
        <v>0.05184</v>
      </c>
      <c r="S265" s="144">
        <v>0</v>
      </c>
      <c r="T265" s="145">
        <f>S265*H265</f>
        <v>0</v>
      </c>
      <c r="U265" s="30"/>
      <c r="V265" s="30"/>
      <c r="W265" s="30"/>
      <c r="X265" s="30"/>
      <c r="Y265" s="30"/>
      <c r="Z265" s="30"/>
      <c r="AA265" s="30"/>
      <c r="AB265" s="30"/>
      <c r="AC265" s="30"/>
      <c r="AD265" s="30"/>
      <c r="AE265" s="30"/>
      <c r="AR265" s="146" t="s">
        <v>154</v>
      </c>
      <c r="AT265" s="146" t="s">
        <v>136</v>
      </c>
      <c r="AU265" s="146" t="s">
        <v>82</v>
      </c>
      <c r="AY265" s="18" t="s">
        <v>133</v>
      </c>
      <c r="BE265" s="147">
        <f>IF(N265="základní",J265,0)</f>
        <v>0</v>
      </c>
      <c r="BF265" s="147">
        <f>IF(N265="snížená",J265,0)</f>
        <v>0</v>
      </c>
      <c r="BG265" s="147">
        <f>IF(N265="zákl. přenesená",J265,0)</f>
        <v>0</v>
      </c>
      <c r="BH265" s="147">
        <f>IF(N265="sníž. přenesená",J265,0)</f>
        <v>0</v>
      </c>
      <c r="BI265" s="147">
        <f>IF(N265="nulová",J265,0)</f>
        <v>0</v>
      </c>
      <c r="BJ265" s="18" t="s">
        <v>80</v>
      </c>
      <c r="BK265" s="147">
        <f>ROUND(I265*H265,2)</f>
        <v>0</v>
      </c>
      <c r="BL265" s="18" t="s">
        <v>154</v>
      </c>
      <c r="BM265" s="146" t="s">
        <v>312</v>
      </c>
    </row>
    <row r="266" spans="1:47" s="2" customFormat="1" ht="29.25">
      <c r="A266" s="30"/>
      <c r="B266" s="31"/>
      <c r="C266" s="30"/>
      <c r="D266" s="149" t="s">
        <v>142</v>
      </c>
      <c r="E266" s="30"/>
      <c r="F266" s="162" t="s">
        <v>308</v>
      </c>
      <c r="G266" s="30"/>
      <c r="H266" s="30"/>
      <c r="I266" s="270"/>
      <c r="J266" s="30"/>
      <c r="K266" s="30"/>
      <c r="L266" s="31"/>
      <c r="M266" s="163"/>
      <c r="N266" s="164"/>
      <c r="O266" s="51"/>
      <c r="P266" s="51"/>
      <c r="Q266" s="51"/>
      <c r="R266" s="51"/>
      <c r="S266" s="51"/>
      <c r="T266" s="52"/>
      <c r="U266" s="30"/>
      <c r="V266" s="30"/>
      <c r="W266" s="30"/>
      <c r="X266" s="30"/>
      <c r="Y266" s="30"/>
      <c r="Z266" s="30"/>
      <c r="AA266" s="30"/>
      <c r="AB266" s="30"/>
      <c r="AC266" s="30"/>
      <c r="AD266" s="30"/>
      <c r="AE266" s="30"/>
      <c r="AT266" s="18" t="s">
        <v>142</v>
      </c>
      <c r="AU266" s="18" t="s">
        <v>82</v>
      </c>
    </row>
    <row r="267" spans="1:65" s="2" customFormat="1" ht="24.2" customHeight="1">
      <c r="A267" s="30"/>
      <c r="B267" s="135"/>
      <c r="C267" s="136">
        <v>53</v>
      </c>
      <c r="D267" s="136" t="s">
        <v>136</v>
      </c>
      <c r="E267" s="137" t="s">
        <v>313</v>
      </c>
      <c r="F267" s="138" t="s">
        <v>314</v>
      </c>
      <c r="G267" s="139" t="s">
        <v>149</v>
      </c>
      <c r="H267" s="140">
        <f>H265</f>
        <v>5.76</v>
      </c>
      <c r="I267" s="269"/>
      <c r="J267" s="141">
        <f>ROUND(I267*H267,2)</f>
        <v>0</v>
      </c>
      <c r="K267" s="138" t="s">
        <v>141</v>
      </c>
      <c r="L267" s="31"/>
      <c r="M267" s="142" t="s">
        <v>3</v>
      </c>
      <c r="N267" s="143" t="s">
        <v>43</v>
      </c>
      <c r="O267" s="144">
        <v>0.13</v>
      </c>
      <c r="P267" s="144">
        <f>O267*H267</f>
        <v>0.7488</v>
      </c>
      <c r="Q267" s="144">
        <v>0</v>
      </c>
      <c r="R267" s="144">
        <f>Q267*H267</f>
        <v>0</v>
      </c>
      <c r="S267" s="144">
        <v>0</v>
      </c>
      <c r="T267" s="145">
        <f>S267*H267</f>
        <v>0</v>
      </c>
      <c r="U267" s="30"/>
      <c r="V267" s="30"/>
      <c r="W267" s="30"/>
      <c r="X267" s="30"/>
      <c r="Y267" s="30"/>
      <c r="Z267" s="30"/>
      <c r="AA267" s="30"/>
      <c r="AB267" s="30"/>
      <c r="AC267" s="30"/>
      <c r="AD267" s="30"/>
      <c r="AE267" s="30"/>
      <c r="AR267" s="146" t="s">
        <v>154</v>
      </c>
      <c r="AT267" s="146" t="s">
        <v>136</v>
      </c>
      <c r="AU267" s="146" t="s">
        <v>82</v>
      </c>
      <c r="AY267" s="18" t="s">
        <v>133</v>
      </c>
      <c r="BE267" s="147">
        <f>IF(N267="základní",J267,0)</f>
        <v>0</v>
      </c>
      <c r="BF267" s="147">
        <f>IF(N267="snížená",J267,0)</f>
        <v>0</v>
      </c>
      <c r="BG267" s="147">
        <f>IF(N267="zákl. přenesená",J267,0)</f>
        <v>0</v>
      </c>
      <c r="BH267" s="147">
        <f>IF(N267="sníž. přenesená",J267,0)</f>
        <v>0</v>
      </c>
      <c r="BI267" s="147">
        <f>IF(N267="nulová",J267,0)</f>
        <v>0</v>
      </c>
      <c r="BJ267" s="18" t="s">
        <v>80</v>
      </c>
      <c r="BK267" s="147">
        <f>ROUND(I267*H267,2)</f>
        <v>0</v>
      </c>
      <c r="BL267" s="18" t="s">
        <v>154</v>
      </c>
      <c r="BM267" s="146" t="s">
        <v>315</v>
      </c>
    </row>
    <row r="268" spans="1:47" s="2" customFormat="1" ht="29.25">
      <c r="A268" s="30"/>
      <c r="B268" s="31"/>
      <c r="C268" s="30"/>
      <c r="D268" s="149" t="s">
        <v>142</v>
      </c>
      <c r="E268" s="30"/>
      <c r="F268" s="162" t="s">
        <v>308</v>
      </c>
      <c r="G268" s="30"/>
      <c r="H268" s="30"/>
      <c r="I268" s="270"/>
      <c r="J268" s="30"/>
      <c r="K268" s="30"/>
      <c r="L268" s="31"/>
      <c r="M268" s="163"/>
      <c r="N268" s="164"/>
      <c r="O268" s="51"/>
      <c r="P268" s="51"/>
      <c r="Q268" s="51"/>
      <c r="R268" s="51"/>
      <c r="S268" s="51"/>
      <c r="T268" s="52"/>
      <c r="U268" s="30"/>
      <c r="V268" s="30"/>
      <c r="W268" s="30"/>
      <c r="X268" s="30"/>
      <c r="Y268" s="30"/>
      <c r="Z268" s="30"/>
      <c r="AA268" s="30"/>
      <c r="AB268" s="30"/>
      <c r="AC268" s="30"/>
      <c r="AD268" s="30"/>
      <c r="AE268" s="30"/>
      <c r="AT268" s="18" t="s">
        <v>142</v>
      </c>
      <c r="AU268" s="18" t="s">
        <v>82</v>
      </c>
    </row>
    <row r="269" spans="1:65" s="2" customFormat="1" ht="24.2" customHeight="1">
      <c r="A269" s="30"/>
      <c r="B269" s="135"/>
      <c r="C269" s="136">
        <v>54</v>
      </c>
      <c r="D269" s="136" t="s">
        <v>136</v>
      </c>
      <c r="E269" s="137" t="s">
        <v>316</v>
      </c>
      <c r="F269" s="138" t="s">
        <v>317</v>
      </c>
      <c r="G269" s="139" t="s">
        <v>149</v>
      </c>
      <c r="H269" s="140">
        <f>H260</f>
        <v>5.76</v>
      </c>
      <c r="I269" s="269"/>
      <c r="J269" s="141">
        <f>ROUND(I269*H269,2)</f>
        <v>0</v>
      </c>
      <c r="K269" s="138" t="s">
        <v>141</v>
      </c>
      <c r="L269" s="31"/>
      <c r="M269" s="142" t="s">
        <v>3</v>
      </c>
      <c r="N269" s="143" t="s">
        <v>43</v>
      </c>
      <c r="O269" s="144">
        <v>0.1</v>
      </c>
      <c r="P269" s="144">
        <f>O269*H269</f>
        <v>0.576</v>
      </c>
      <c r="Q269" s="144">
        <v>0</v>
      </c>
      <c r="R269" s="144">
        <f>Q269*H269</f>
        <v>0</v>
      </c>
      <c r="S269" s="144">
        <v>0</v>
      </c>
      <c r="T269" s="145">
        <f>S269*H269</f>
        <v>0</v>
      </c>
      <c r="U269" s="30"/>
      <c r="V269" s="30"/>
      <c r="W269" s="30"/>
      <c r="X269" s="30"/>
      <c r="Y269" s="30"/>
      <c r="Z269" s="30"/>
      <c r="AA269" s="30"/>
      <c r="AB269" s="30"/>
      <c r="AC269" s="30"/>
      <c r="AD269" s="30"/>
      <c r="AE269" s="30"/>
      <c r="AR269" s="146" t="s">
        <v>154</v>
      </c>
      <c r="AT269" s="146" t="s">
        <v>136</v>
      </c>
      <c r="AU269" s="146" t="s">
        <v>82</v>
      </c>
      <c r="AY269" s="18" t="s">
        <v>133</v>
      </c>
      <c r="BE269" s="147">
        <f>IF(N269="základní",J269,0)</f>
        <v>0</v>
      </c>
      <c r="BF269" s="147">
        <f>IF(N269="snížená",J269,0)</f>
        <v>0</v>
      </c>
      <c r="BG269" s="147">
        <f>IF(N269="zákl. přenesená",J269,0)</f>
        <v>0</v>
      </c>
      <c r="BH269" s="147">
        <f>IF(N269="sníž. přenesená",J269,0)</f>
        <v>0</v>
      </c>
      <c r="BI269" s="147">
        <f>IF(N269="nulová",J269,0)</f>
        <v>0</v>
      </c>
      <c r="BJ269" s="18" t="s">
        <v>80</v>
      </c>
      <c r="BK269" s="147">
        <f>ROUND(I269*H269,2)</f>
        <v>0</v>
      </c>
      <c r="BL269" s="18" t="s">
        <v>154</v>
      </c>
      <c r="BM269" s="146" t="s">
        <v>318</v>
      </c>
    </row>
    <row r="270" spans="1:47" s="2" customFormat="1" ht="29.25">
      <c r="A270" s="30"/>
      <c r="B270" s="31"/>
      <c r="C270" s="30"/>
      <c r="D270" s="149" t="s">
        <v>142</v>
      </c>
      <c r="E270" s="30"/>
      <c r="F270" s="162" t="s">
        <v>308</v>
      </c>
      <c r="G270" s="30"/>
      <c r="H270" s="30"/>
      <c r="I270" s="270"/>
      <c r="J270" s="30"/>
      <c r="K270" s="30"/>
      <c r="L270" s="31"/>
      <c r="M270" s="163"/>
      <c r="N270" s="164"/>
      <c r="O270" s="51"/>
      <c r="P270" s="51"/>
      <c r="Q270" s="51"/>
      <c r="R270" s="51"/>
      <c r="S270" s="51"/>
      <c r="T270" s="52"/>
      <c r="U270" s="30"/>
      <c r="V270" s="30"/>
      <c r="W270" s="30"/>
      <c r="X270" s="30"/>
      <c r="Y270" s="30"/>
      <c r="Z270" s="30"/>
      <c r="AA270" s="30"/>
      <c r="AB270" s="30"/>
      <c r="AC270" s="30"/>
      <c r="AD270" s="30"/>
      <c r="AE270" s="30"/>
      <c r="AT270" s="18" t="s">
        <v>142</v>
      </c>
      <c r="AU270" s="18" t="s">
        <v>82</v>
      </c>
    </row>
    <row r="271" spans="1:65" s="2" customFormat="1" ht="24.2" customHeight="1">
      <c r="A271" s="30"/>
      <c r="B271" s="135"/>
      <c r="C271" s="136">
        <v>55</v>
      </c>
      <c r="D271" s="136" t="s">
        <v>136</v>
      </c>
      <c r="E271" s="137" t="s">
        <v>319</v>
      </c>
      <c r="F271" s="138" t="s">
        <v>320</v>
      </c>
      <c r="G271" s="139" t="s">
        <v>151</v>
      </c>
      <c r="H271" s="140">
        <f>H274</f>
        <v>11.999999999999998</v>
      </c>
      <c r="I271" s="269"/>
      <c r="J271" s="141">
        <f>ROUND(I271*H271,2)</f>
        <v>0</v>
      </c>
      <c r="K271" s="138" t="s">
        <v>141</v>
      </c>
      <c r="L271" s="31"/>
      <c r="M271" s="142" t="s">
        <v>3</v>
      </c>
      <c r="N271" s="143" t="s">
        <v>43</v>
      </c>
      <c r="O271" s="144">
        <v>0.248</v>
      </c>
      <c r="P271" s="144">
        <f>O271*H271</f>
        <v>2.9759999999999995</v>
      </c>
      <c r="Q271" s="144">
        <v>0.00055</v>
      </c>
      <c r="R271" s="144">
        <f>Q271*H271</f>
        <v>0.006599999999999999</v>
      </c>
      <c r="S271" s="144">
        <v>0</v>
      </c>
      <c r="T271" s="145">
        <f>S271*H271</f>
        <v>0</v>
      </c>
      <c r="U271" s="30"/>
      <c r="V271" s="30"/>
      <c r="W271" s="30"/>
      <c r="X271" s="30"/>
      <c r="Y271" s="30"/>
      <c r="Z271" s="30"/>
      <c r="AA271" s="30"/>
      <c r="AB271" s="30"/>
      <c r="AC271" s="30"/>
      <c r="AD271" s="30"/>
      <c r="AE271" s="30"/>
      <c r="AR271" s="146" t="s">
        <v>154</v>
      </c>
      <c r="AT271" s="146" t="s">
        <v>136</v>
      </c>
      <c r="AU271" s="146" t="s">
        <v>82</v>
      </c>
      <c r="AY271" s="18" t="s">
        <v>133</v>
      </c>
      <c r="BE271" s="147">
        <f>IF(N271="základní",J271,0)</f>
        <v>0</v>
      </c>
      <c r="BF271" s="147">
        <f>IF(N271="snížená",J271,0)</f>
        <v>0</v>
      </c>
      <c r="BG271" s="147">
        <f>IF(N271="zákl. přenesená",J271,0)</f>
        <v>0</v>
      </c>
      <c r="BH271" s="147">
        <f>IF(N271="sníž. přenesená",J271,0)</f>
        <v>0</v>
      </c>
      <c r="BI271" s="147">
        <f>IF(N271="nulová",J271,0)</f>
        <v>0</v>
      </c>
      <c r="BJ271" s="18" t="s">
        <v>80</v>
      </c>
      <c r="BK271" s="147">
        <f>ROUND(I271*H271,2)</f>
        <v>0</v>
      </c>
      <c r="BL271" s="18" t="s">
        <v>154</v>
      </c>
      <c r="BM271" s="146" t="s">
        <v>321</v>
      </c>
    </row>
    <row r="272" spans="1:47" s="2" customFormat="1" ht="58.5">
      <c r="A272" s="30"/>
      <c r="B272" s="31"/>
      <c r="C272" s="30"/>
      <c r="D272" s="149" t="s">
        <v>142</v>
      </c>
      <c r="E272" s="30"/>
      <c r="F272" s="162" t="s">
        <v>322</v>
      </c>
      <c r="G272" s="30"/>
      <c r="H272" s="30"/>
      <c r="I272" s="270"/>
      <c r="J272" s="30"/>
      <c r="K272" s="30"/>
      <c r="L272" s="31"/>
      <c r="M272" s="163"/>
      <c r="N272" s="164"/>
      <c r="O272" s="51"/>
      <c r="P272" s="51"/>
      <c r="Q272" s="51"/>
      <c r="R272" s="51"/>
      <c r="S272" s="51"/>
      <c r="T272" s="52"/>
      <c r="U272" s="30"/>
      <c r="V272" s="30"/>
      <c r="W272" s="30"/>
      <c r="X272" s="30"/>
      <c r="Y272" s="30"/>
      <c r="Z272" s="30"/>
      <c r="AA272" s="30"/>
      <c r="AB272" s="30"/>
      <c r="AC272" s="30"/>
      <c r="AD272" s="30"/>
      <c r="AE272" s="30"/>
      <c r="AT272" s="18" t="s">
        <v>142</v>
      </c>
      <c r="AU272" s="18" t="s">
        <v>82</v>
      </c>
    </row>
    <row r="273" spans="2:51" s="13" customFormat="1" ht="12">
      <c r="B273" s="148"/>
      <c r="D273" s="149" t="s">
        <v>139</v>
      </c>
      <c r="E273" s="150" t="s">
        <v>3</v>
      </c>
      <c r="F273" s="151" t="s">
        <v>990</v>
      </c>
      <c r="H273" s="150" t="s">
        <v>3</v>
      </c>
      <c r="I273" s="273"/>
      <c r="L273" s="148"/>
      <c r="M273" s="152"/>
      <c r="N273" s="153"/>
      <c r="O273" s="153"/>
      <c r="P273" s="153"/>
      <c r="Q273" s="153"/>
      <c r="R273" s="153"/>
      <c r="S273" s="153"/>
      <c r="T273" s="154"/>
      <c r="AT273" s="150" t="s">
        <v>139</v>
      </c>
      <c r="AU273" s="150" t="s">
        <v>82</v>
      </c>
      <c r="AV273" s="13" t="s">
        <v>80</v>
      </c>
      <c r="AW273" s="13" t="s">
        <v>34</v>
      </c>
      <c r="AX273" s="13" t="s">
        <v>72</v>
      </c>
      <c r="AY273" s="150" t="s">
        <v>133</v>
      </c>
    </row>
    <row r="274" spans="2:51" s="14" customFormat="1" ht="12">
      <c r="B274" s="155"/>
      <c r="D274" s="149" t="s">
        <v>139</v>
      </c>
      <c r="E274" s="156" t="s">
        <v>3</v>
      </c>
      <c r="F274" s="157" t="s">
        <v>1014</v>
      </c>
      <c r="H274" s="158">
        <f>(1.2+1.2+1.2+0.6)*2+(1.2*3)</f>
        <v>11.999999999999998</v>
      </c>
      <c r="I274" s="271"/>
      <c r="L274" s="155"/>
      <c r="M274" s="159"/>
      <c r="N274" s="160"/>
      <c r="O274" s="160"/>
      <c r="P274" s="160"/>
      <c r="Q274" s="160"/>
      <c r="R274" s="160"/>
      <c r="S274" s="160"/>
      <c r="T274" s="161"/>
      <c r="AT274" s="156" t="s">
        <v>139</v>
      </c>
      <c r="AU274" s="156" t="s">
        <v>82</v>
      </c>
      <c r="AV274" s="14" t="s">
        <v>82</v>
      </c>
      <c r="AW274" s="14" t="s">
        <v>34</v>
      </c>
      <c r="AX274" s="14" t="s">
        <v>72</v>
      </c>
      <c r="AY274" s="156" t="s">
        <v>133</v>
      </c>
    </row>
    <row r="275" spans="1:65" s="2" customFormat="1" ht="24.2" customHeight="1">
      <c r="A275" s="30"/>
      <c r="B275" s="135"/>
      <c r="C275" s="136">
        <v>56</v>
      </c>
      <c r="D275" s="136" t="s">
        <v>136</v>
      </c>
      <c r="E275" s="137" t="s">
        <v>323</v>
      </c>
      <c r="F275" s="138" t="s">
        <v>324</v>
      </c>
      <c r="G275" s="139" t="s">
        <v>151</v>
      </c>
      <c r="H275" s="140">
        <f>H271</f>
        <v>11.999999999999998</v>
      </c>
      <c r="I275" s="269"/>
      <c r="J275" s="141">
        <f>ROUND(I275*H275,2)</f>
        <v>0</v>
      </c>
      <c r="K275" s="138" t="s">
        <v>141</v>
      </c>
      <c r="L275" s="31"/>
      <c r="M275" s="142" t="s">
        <v>3</v>
      </c>
      <c r="N275" s="143" t="s">
        <v>43</v>
      </c>
      <c r="O275" s="144">
        <v>0.16</v>
      </c>
      <c r="P275" s="144">
        <f>O275*H275</f>
        <v>1.9199999999999997</v>
      </c>
      <c r="Q275" s="144">
        <v>0.0005</v>
      </c>
      <c r="R275" s="144">
        <f>Q275*H275</f>
        <v>0.005999999999999999</v>
      </c>
      <c r="S275" s="144">
        <v>0</v>
      </c>
      <c r="T275" s="145">
        <f>S275*H275</f>
        <v>0</v>
      </c>
      <c r="U275" s="30"/>
      <c r="V275" s="30"/>
      <c r="W275" s="30"/>
      <c r="X275" s="30"/>
      <c r="Y275" s="30"/>
      <c r="Z275" s="30"/>
      <c r="AA275" s="30"/>
      <c r="AB275" s="30"/>
      <c r="AC275" s="30"/>
      <c r="AD275" s="30"/>
      <c r="AE275" s="30"/>
      <c r="AR275" s="146" t="s">
        <v>154</v>
      </c>
      <c r="AT275" s="146" t="s">
        <v>136</v>
      </c>
      <c r="AU275" s="146" t="s">
        <v>82</v>
      </c>
      <c r="AY275" s="18" t="s">
        <v>133</v>
      </c>
      <c r="BE275" s="147">
        <f>IF(N275="základní",J275,0)</f>
        <v>0</v>
      </c>
      <c r="BF275" s="147">
        <f>IF(N275="snížená",J275,0)</f>
        <v>0</v>
      </c>
      <c r="BG275" s="147">
        <f>IF(N275="zákl. přenesená",J275,0)</f>
        <v>0</v>
      </c>
      <c r="BH275" s="147">
        <f>IF(N275="sníž. přenesená",J275,0)</f>
        <v>0</v>
      </c>
      <c r="BI275" s="147">
        <f>IF(N275="nulová",J275,0)</f>
        <v>0</v>
      </c>
      <c r="BJ275" s="18" t="s">
        <v>80</v>
      </c>
      <c r="BK275" s="147">
        <f>ROUND(I275*H275,2)</f>
        <v>0</v>
      </c>
      <c r="BL275" s="18" t="s">
        <v>154</v>
      </c>
      <c r="BM275" s="146" t="s">
        <v>325</v>
      </c>
    </row>
    <row r="276" spans="1:47" s="2" customFormat="1" ht="58.5">
      <c r="A276" s="30"/>
      <c r="B276" s="31"/>
      <c r="C276" s="30"/>
      <c r="D276" s="149" t="s">
        <v>142</v>
      </c>
      <c r="E276" s="30"/>
      <c r="F276" s="162" t="s">
        <v>322</v>
      </c>
      <c r="G276" s="30"/>
      <c r="H276" s="30"/>
      <c r="I276" s="270"/>
      <c r="J276" s="30"/>
      <c r="K276" s="30"/>
      <c r="L276" s="31"/>
      <c r="M276" s="163"/>
      <c r="N276" s="164"/>
      <c r="O276" s="51"/>
      <c r="P276" s="51"/>
      <c r="Q276" s="51"/>
      <c r="R276" s="51"/>
      <c r="S276" s="51"/>
      <c r="T276" s="52"/>
      <c r="U276" s="30"/>
      <c r="V276" s="30"/>
      <c r="W276" s="30"/>
      <c r="X276" s="30"/>
      <c r="Y276" s="30"/>
      <c r="Z276" s="30"/>
      <c r="AA276" s="30"/>
      <c r="AB276" s="30"/>
      <c r="AC276" s="30"/>
      <c r="AD276" s="30"/>
      <c r="AE276" s="30"/>
      <c r="AT276" s="18" t="s">
        <v>142</v>
      </c>
      <c r="AU276" s="18" t="s">
        <v>82</v>
      </c>
    </row>
    <row r="277" spans="1:65" s="2" customFormat="1" ht="24.2" customHeight="1">
      <c r="A277" s="30"/>
      <c r="B277" s="135"/>
      <c r="C277" s="136">
        <v>57</v>
      </c>
      <c r="D277" s="136" t="s">
        <v>136</v>
      </c>
      <c r="E277" s="137" t="s">
        <v>326</v>
      </c>
      <c r="F277" s="138" t="s">
        <v>327</v>
      </c>
      <c r="G277" s="139" t="s">
        <v>140</v>
      </c>
      <c r="H277" s="140">
        <v>6</v>
      </c>
      <c r="I277" s="269"/>
      <c r="J277" s="141">
        <f>ROUND(I277*H277,2)</f>
        <v>0</v>
      </c>
      <c r="K277" s="138" t="s">
        <v>141</v>
      </c>
      <c r="L277" s="31"/>
      <c r="M277" s="142" t="s">
        <v>3</v>
      </c>
      <c r="N277" s="143" t="s">
        <v>43</v>
      </c>
      <c r="O277" s="144">
        <v>0.1</v>
      </c>
      <c r="P277" s="144">
        <f>O277*H277</f>
        <v>0.6000000000000001</v>
      </c>
      <c r="Q277" s="144">
        <v>0</v>
      </c>
      <c r="R277" s="144">
        <f>Q277*H277</f>
        <v>0</v>
      </c>
      <c r="S277" s="144">
        <v>0</v>
      </c>
      <c r="T277" s="145">
        <f>S277*H277</f>
        <v>0</v>
      </c>
      <c r="U277" s="30"/>
      <c r="V277" s="30"/>
      <c r="W277" s="30"/>
      <c r="X277" s="30"/>
      <c r="Y277" s="30"/>
      <c r="Z277" s="30"/>
      <c r="AA277" s="30"/>
      <c r="AB277" s="30"/>
      <c r="AC277" s="30"/>
      <c r="AD277" s="30"/>
      <c r="AE277" s="30"/>
      <c r="AR277" s="146" t="s">
        <v>154</v>
      </c>
      <c r="AT277" s="146" t="s">
        <v>136</v>
      </c>
      <c r="AU277" s="146" t="s">
        <v>82</v>
      </c>
      <c r="AY277" s="18" t="s">
        <v>133</v>
      </c>
      <c r="BE277" s="147">
        <f>IF(N277="základní",J277,0)</f>
        <v>0</v>
      </c>
      <c r="BF277" s="147">
        <f>IF(N277="snížená",J277,0)</f>
        <v>0</v>
      </c>
      <c r="BG277" s="147">
        <f>IF(N277="zákl. přenesená",J277,0)</f>
        <v>0</v>
      </c>
      <c r="BH277" s="147">
        <f>IF(N277="sníž. přenesená",J277,0)</f>
        <v>0</v>
      </c>
      <c r="BI277" s="147">
        <f>IF(N277="nulová",J277,0)</f>
        <v>0</v>
      </c>
      <c r="BJ277" s="18" t="s">
        <v>80</v>
      </c>
      <c r="BK277" s="147">
        <f>ROUND(I277*H277,2)</f>
        <v>0</v>
      </c>
      <c r="BL277" s="18" t="s">
        <v>154</v>
      </c>
      <c r="BM277" s="146" t="s">
        <v>328</v>
      </c>
    </row>
    <row r="278" spans="1:47" s="2" customFormat="1" ht="58.5">
      <c r="A278" s="30"/>
      <c r="B278" s="31"/>
      <c r="C278" s="30"/>
      <c r="D278" s="149" t="s">
        <v>142</v>
      </c>
      <c r="E278" s="30"/>
      <c r="F278" s="162" t="s">
        <v>322</v>
      </c>
      <c r="G278" s="30"/>
      <c r="H278" s="30"/>
      <c r="I278" s="270"/>
      <c r="J278" s="30"/>
      <c r="K278" s="30"/>
      <c r="L278" s="31"/>
      <c r="M278" s="163"/>
      <c r="N278" s="164"/>
      <c r="O278" s="51"/>
      <c r="P278" s="51"/>
      <c r="Q278" s="51"/>
      <c r="R278" s="51"/>
      <c r="S278" s="51"/>
      <c r="T278" s="52"/>
      <c r="U278" s="30"/>
      <c r="V278" s="30"/>
      <c r="W278" s="30"/>
      <c r="X278" s="30"/>
      <c r="Y278" s="30"/>
      <c r="Z278" s="30"/>
      <c r="AA278" s="30"/>
      <c r="AB278" s="30"/>
      <c r="AC278" s="30"/>
      <c r="AD278" s="30"/>
      <c r="AE278" s="30"/>
      <c r="AT278" s="18" t="s">
        <v>142</v>
      </c>
      <c r="AU278" s="18" t="s">
        <v>82</v>
      </c>
    </row>
    <row r="279" spans="1:65" s="2" customFormat="1" ht="24.2" customHeight="1">
      <c r="A279" s="30"/>
      <c r="B279" s="135"/>
      <c r="C279" s="136">
        <v>58</v>
      </c>
      <c r="D279" s="136" t="s">
        <v>136</v>
      </c>
      <c r="E279" s="137" t="s">
        <v>329</v>
      </c>
      <c r="F279" s="138" t="s">
        <v>330</v>
      </c>
      <c r="G279" s="139" t="s">
        <v>140</v>
      </c>
      <c r="H279" s="140">
        <v>3</v>
      </c>
      <c r="I279" s="269"/>
      <c r="J279" s="141">
        <f>ROUND(I279*H279,2)</f>
        <v>0</v>
      </c>
      <c r="K279" s="138" t="s">
        <v>141</v>
      </c>
      <c r="L279" s="31"/>
      <c r="M279" s="142" t="s">
        <v>3</v>
      </c>
      <c r="N279" s="143" t="s">
        <v>43</v>
      </c>
      <c r="O279" s="144">
        <v>0.12</v>
      </c>
      <c r="P279" s="144">
        <f>O279*H279</f>
        <v>0.36</v>
      </c>
      <c r="Q279" s="144">
        <v>0</v>
      </c>
      <c r="R279" s="144">
        <f>Q279*H279</f>
        <v>0</v>
      </c>
      <c r="S279" s="144">
        <v>0</v>
      </c>
      <c r="T279" s="145">
        <f>S279*H279</f>
        <v>0</v>
      </c>
      <c r="U279" s="30"/>
      <c r="V279" s="30"/>
      <c r="W279" s="30"/>
      <c r="X279" s="30"/>
      <c r="Y279" s="30"/>
      <c r="Z279" s="30"/>
      <c r="AA279" s="30"/>
      <c r="AB279" s="30"/>
      <c r="AC279" s="30"/>
      <c r="AD279" s="30"/>
      <c r="AE279" s="30"/>
      <c r="AR279" s="146" t="s">
        <v>154</v>
      </c>
      <c r="AT279" s="146" t="s">
        <v>136</v>
      </c>
      <c r="AU279" s="146" t="s">
        <v>82</v>
      </c>
      <c r="AY279" s="18" t="s">
        <v>133</v>
      </c>
      <c r="BE279" s="147">
        <f>IF(N279="základní",J279,0)</f>
        <v>0</v>
      </c>
      <c r="BF279" s="147">
        <f>IF(N279="snížená",J279,0)</f>
        <v>0</v>
      </c>
      <c r="BG279" s="147">
        <f>IF(N279="zákl. přenesená",J279,0)</f>
        <v>0</v>
      </c>
      <c r="BH279" s="147">
        <f>IF(N279="sníž. přenesená",J279,0)</f>
        <v>0</v>
      </c>
      <c r="BI279" s="147">
        <f>IF(N279="nulová",J279,0)</f>
        <v>0</v>
      </c>
      <c r="BJ279" s="18" t="s">
        <v>80</v>
      </c>
      <c r="BK279" s="147">
        <f>ROUND(I279*H279,2)</f>
        <v>0</v>
      </c>
      <c r="BL279" s="18" t="s">
        <v>154</v>
      </c>
      <c r="BM279" s="146" t="s">
        <v>331</v>
      </c>
    </row>
    <row r="280" spans="1:47" s="2" customFormat="1" ht="58.5">
      <c r="A280" s="30"/>
      <c r="B280" s="31"/>
      <c r="C280" s="30"/>
      <c r="D280" s="149" t="s">
        <v>142</v>
      </c>
      <c r="E280" s="30"/>
      <c r="F280" s="162" t="s">
        <v>322</v>
      </c>
      <c r="G280" s="30"/>
      <c r="H280" s="30"/>
      <c r="I280" s="270"/>
      <c r="J280" s="30"/>
      <c r="K280" s="30"/>
      <c r="L280" s="31"/>
      <c r="M280" s="163"/>
      <c r="N280" s="164"/>
      <c r="O280" s="51"/>
      <c r="P280" s="51"/>
      <c r="Q280" s="51"/>
      <c r="R280" s="51"/>
      <c r="S280" s="51"/>
      <c r="T280" s="52"/>
      <c r="U280" s="30"/>
      <c r="V280" s="30"/>
      <c r="W280" s="30"/>
      <c r="X280" s="30"/>
      <c r="Y280" s="30"/>
      <c r="Z280" s="30"/>
      <c r="AA280" s="30"/>
      <c r="AB280" s="30"/>
      <c r="AC280" s="30"/>
      <c r="AD280" s="30"/>
      <c r="AE280" s="30"/>
      <c r="AT280" s="18" t="s">
        <v>142</v>
      </c>
      <c r="AU280" s="18" t="s">
        <v>82</v>
      </c>
    </row>
    <row r="281" spans="1:65" s="2" customFormat="1" ht="37.9" customHeight="1">
      <c r="A281" s="30"/>
      <c r="B281" s="135"/>
      <c r="C281" s="136">
        <v>59</v>
      </c>
      <c r="D281" s="136" t="s">
        <v>136</v>
      </c>
      <c r="E281" s="137" t="s">
        <v>332</v>
      </c>
      <c r="F281" s="138" t="s">
        <v>333</v>
      </c>
      <c r="G281" s="139" t="s">
        <v>229</v>
      </c>
      <c r="H281" s="140">
        <f>SUM(J252:J280)/100</f>
        <v>0</v>
      </c>
      <c r="I281" s="269"/>
      <c r="J281" s="141">
        <f>ROUND(I281*H281,2)</f>
        <v>0</v>
      </c>
      <c r="K281" s="138" t="s">
        <v>141</v>
      </c>
      <c r="L281" s="31"/>
      <c r="M281" s="142" t="s">
        <v>3</v>
      </c>
      <c r="N281" s="143" t="s">
        <v>43</v>
      </c>
      <c r="O281" s="144">
        <v>0</v>
      </c>
      <c r="P281" s="144">
        <f>O281*H281</f>
        <v>0</v>
      </c>
      <c r="Q281" s="144">
        <v>0</v>
      </c>
      <c r="R281" s="144">
        <f>Q281*H281</f>
        <v>0</v>
      </c>
      <c r="S281" s="144">
        <v>0</v>
      </c>
      <c r="T281" s="145">
        <f>S281*H281</f>
        <v>0</v>
      </c>
      <c r="U281" s="30"/>
      <c r="V281" s="30"/>
      <c r="W281" s="30"/>
      <c r="X281" s="30"/>
      <c r="Y281" s="30"/>
      <c r="Z281" s="30"/>
      <c r="AA281" s="30"/>
      <c r="AB281" s="30"/>
      <c r="AC281" s="30"/>
      <c r="AD281" s="30"/>
      <c r="AE281" s="30"/>
      <c r="AR281" s="146" t="s">
        <v>154</v>
      </c>
      <c r="AT281" s="146" t="s">
        <v>136</v>
      </c>
      <c r="AU281" s="146" t="s">
        <v>82</v>
      </c>
      <c r="AY281" s="18" t="s">
        <v>133</v>
      </c>
      <c r="BE281" s="147">
        <f>IF(N281="základní",J281,0)</f>
        <v>0</v>
      </c>
      <c r="BF281" s="147">
        <f>IF(N281="snížená",J281,0)</f>
        <v>0</v>
      </c>
      <c r="BG281" s="147">
        <f>IF(N281="zákl. přenesená",J281,0)</f>
        <v>0</v>
      </c>
      <c r="BH281" s="147">
        <f>IF(N281="sníž. přenesená",J281,0)</f>
        <v>0</v>
      </c>
      <c r="BI281" s="147">
        <f>IF(N281="nulová",J281,0)</f>
        <v>0</v>
      </c>
      <c r="BJ281" s="18" t="s">
        <v>80</v>
      </c>
      <c r="BK281" s="147">
        <f>ROUND(I281*H281,2)</f>
        <v>0</v>
      </c>
      <c r="BL281" s="18" t="s">
        <v>154</v>
      </c>
      <c r="BM281" s="146" t="s">
        <v>334</v>
      </c>
    </row>
    <row r="282" spans="1:47" s="2" customFormat="1" ht="126.75">
      <c r="A282" s="30"/>
      <c r="B282" s="31"/>
      <c r="C282" s="30"/>
      <c r="D282" s="149" t="s">
        <v>142</v>
      </c>
      <c r="E282" s="30"/>
      <c r="F282" s="162" t="s">
        <v>261</v>
      </c>
      <c r="G282" s="30"/>
      <c r="H282" s="30"/>
      <c r="I282" s="270"/>
      <c r="J282" s="30"/>
      <c r="K282" s="30"/>
      <c r="L282" s="31"/>
      <c r="M282" s="163"/>
      <c r="N282" s="164"/>
      <c r="O282" s="51"/>
      <c r="P282" s="51"/>
      <c r="Q282" s="51"/>
      <c r="R282" s="51"/>
      <c r="S282" s="51"/>
      <c r="T282" s="52"/>
      <c r="U282" s="30"/>
      <c r="V282" s="30"/>
      <c r="W282" s="30"/>
      <c r="X282" s="30"/>
      <c r="Y282" s="30"/>
      <c r="Z282" s="30"/>
      <c r="AA282" s="30"/>
      <c r="AB282" s="30"/>
      <c r="AC282" s="30"/>
      <c r="AD282" s="30"/>
      <c r="AE282" s="30"/>
      <c r="AT282" s="18" t="s">
        <v>142</v>
      </c>
      <c r="AU282" s="18" t="s">
        <v>82</v>
      </c>
    </row>
    <row r="283" spans="1:65" s="2" customFormat="1" ht="49.15" customHeight="1">
      <c r="A283" s="30"/>
      <c r="B283" s="135"/>
      <c r="C283" s="136">
        <v>60</v>
      </c>
      <c r="D283" s="136" t="s">
        <v>136</v>
      </c>
      <c r="E283" s="137" t="s">
        <v>335</v>
      </c>
      <c r="F283" s="138" t="s">
        <v>336</v>
      </c>
      <c r="G283" s="139" t="s">
        <v>229</v>
      </c>
      <c r="H283" s="140">
        <f>H281</f>
        <v>0</v>
      </c>
      <c r="I283" s="269"/>
      <c r="J283" s="141">
        <f>ROUND(I283*H283,2)</f>
        <v>0</v>
      </c>
      <c r="K283" s="138" t="s">
        <v>141</v>
      </c>
      <c r="L283" s="31"/>
      <c r="M283" s="142" t="s">
        <v>3</v>
      </c>
      <c r="N283" s="143" t="s">
        <v>43</v>
      </c>
      <c r="O283" s="144">
        <v>0</v>
      </c>
      <c r="P283" s="144">
        <f>O283*H283</f>
        <v>0</v>
      </c>
      <c r="Q283" s="144">
        <v>0</v>
      </c>
      <c r="R283" s="144">
        <f>Q283*H283</f>
        <v>0</v>
      </c>
      <c r="S283" s="144">
        <v>0</v>
      </c>
      <c r="T283" s="145">
        <f>S283*H283</f>
        <v>0</v>
      </c>
      <c r="U283" s="30"/>
      <c r="V283" s="30"/>
      <c r="W283" s="30"/>
      <c r="X283" s="30"/>
      <c r="Y283" s="30"/>
      <c r="Z283" s="30"/>
      <c r="AA283" s="30"/>
      <c r="AB283" s="30"/>
      <c r="AC283" s="30"/>
      <c r="AD283" s="30"/>
      <c r="AE283" s="30"/>
      <c r="AR283" s="146" t="s">
        <v>154</v>
      </c>
      <c r="AT283" s="146" t="s">
        <v>136</v>
      </c>
      <c r="AU283" s="146" t="s">
        <v>82</v>
      </c>
      <c r="AY283" s="18" t="s">
        <v>133</v>
      </c>
      <c r="BE283" s="147">
        <f>IF(N283="základní",J283,0)</f>
        <v>0</v>
      </c>
      <c r="BF283" s="147">
        <f>IF(N283="snížená",J283,0)</f>
        <v>0</v>
      </c>
      <c r="BG283" s="147">
        <f>IF(N283="zákl. přenesená",J283,0)</f>
        <v>0</v>
      </c>
      <c r="BH283" s="147">
        <f>IF(N283="sníž. přenesená",J283,0)</f>
        <v>0</v>
      </c>
      <c r="BI283" s="147">
        <f>IF(N283="nulová",J283,0)</f>
        <v>0</v>
      </c>
      <c r="BJ283" s="18" t="s">
        <v>80</v>
      </c>
      <c r="BK283" s="147">
        <f>ROUND(I283*H283,2)</f>
        <v>0</v>
      </c>
      <c r="BL283" s="18" t="s">
        <v>154</v>
      </c>
      <c r="BM283" s="146" t="s">
        <v>337</v>
      </c>
    </row>
    <row r="284" spans="1:47" s="2" customFormat="1" ht="126.75">
      <c r="A284" s="30"/>
      <c r="B284" s="31"/>
      <c r="C284" s="30"/>
      <c r="D284" s="149" t="s">
        <v>142</v>
      </c>
      <c r="E284" s="30"/>
      <c r="F284" s="162" t="s">
        <v>261</v>
      </c>
      <c r="G284" s="30"/>
      <c r="H284" s="30"/>
      <c r="I284" s="270"/>
      <c r="J284" s="30"/>
      <c r="K284" s="30"/>
      <c r="L284" s="31"/>
      <c r="M284" s="163"/>
      <c r="N284" s="164"/>
      <c r="O284" s="51"/>
      <c r="P284" s="51"/>
      <c r="Q284" s="51"/>
      <c r="R284" s="51"/>
      <c r="S284" s="51"/>
      <c r="T284" s="52"/>
      <c r="U284" s="30"/>
      <c r="V284" s="30"/>
      <c r="W284" s="30"/>
      <c r="X284" s="30"/>
      <c r="Y284" s="30"/>
      <c r="Z284" s="30"/>
      <c r="AA284" s="30"/>
      <c r="AB284" s="30"/>
      <c r="AC284" s="30"/>
      <c r="AD284" s="30"/>
      <c r="AE284" s="30"/>
      <c r="AT284" s="18" t="s">
        <v>142</v>
      </c>
      <c r="AU284" s="18" t="s">
        <v>82</v>
      </c>
    </row>
    <row r="285" spans="2:63" s="12" customFormat="1" ht="22.9" customHeight="1">
      <c r="B285" s="123"/>
      <c r="D285" s="124" t="s">
        <v>71</v>
      </c>
      <c r="E285" s="133" t="s">
        <v>338</v>
      </c>
      <c r="F285" s="133" t="s">
        <v>339</v>
      </c>
      <c r="I285" s="275"/>
      <c r="J285" s="134">
        <f>J286</f>
        <v>0</v>
      </c>
      <c r="L285" s="123"/>
      <c r="M285" s="127"/>
      <c r="N285" s="128"/>
      <c r="O285" s="128"/>
      <c r="P285" s="129">
        <f>SUM(P286:P287)</f>
        <v>0</v>
      </c>
      <c r="Q285" s="128"/>
      <c r="R285" s="129">
        <f>SUM(R286:R287)</f>
        <v>0</v>
      </c>
      <c r="S285" s="128"/>
      <c r="T285" s="130">
        <f>SUM(T286:T287)</f>
        <v>0</v>
      </c>
      <c r="AR285" s="124" t="s">
        <v>82</v>
      </c>
      <c r="AT285" s="131" t="s">
        <v>71</v>
      </c>
      <c r="AU285" s="131" t="s">
        <v>80</v>
      </c>
      <c r="AY285" s="124" t="s">
        <v>133</v>
      </c>
      <c r="BK285" s="132">
        <f>SUM(BK286:BK287)</f>
        <v>0</v>
      </c>
    </row>
    <row r="286" spans="1:65" s="2" customFormat="1" ht="14.45" customHeight="1">
      <c r="A286" s="30"/>
      <c r="B286" s="135"/>
      <c r="C286" s="136">
        <v>61</v>
      </c>
      <c r="D286" s="136" t="s">
        <v>136</v>
      </c>
      <c r="E286" s="137" t="s">
        <v>340</v>
      </c>
      <c r="F286" s="138" t="s">
        <v>341</v>
      </c>
      <c r="G286" s="139" t="s">
        <v>140</v>
      </c>
      <c r="H286" s="140">
        <f>H287</f>
        <v>2</v>
      </c>
      <c r="I286" s="269"/>
      <c r="J286" s="141">
        <f>ROUND(I286*H286,2)</f>
        <v>0</v>
      </c>
      <c r="K286" s="138" t="s">
        <v>137</v>
      </c>
      <c r="L286" s="31"/>
      <c r="M286" s="142" t="s">
        <v>3</v>
      </c>
      <c r="N286" s="143" t="s">
        <v>43</v>
      </c>
      <c r="O286" s="144">
        <v>0</v>
      </c>
      <c r="P286" s="144">
        <f>O286*H286</f>
        <v>0</v>
      </c>
      <c r="Q286" s="144">
        <v>0</v>
      </c>
      <c r="R286" s="144">
        <f>Q286*H286</f>
        <v>0</v>
      </c>
      <c r="S286" s="144">
        <v>0</v>
      </c>
      <c r="T286" s="145">
        <f>S286*H286</f>
        <v>0</v>
      </c>
      <c r="U286" s="30"/>
      <c r="V286" s="30"/>
      <c r="W286" s="30"/>
      <c r="X286" s="30"/>
      <c r="Y286" s="30"/>
      <c r="Z286" s="30"/>
      <c r="AA286" s="30"/>
      <c r="AB286" s="30"/>
      <c r="AC286" s="30"/>
      <c r="AD286" s="30"/>
      <c r="AE286" s="30"/>
      <c r="AR286" s="146" t="s">
        <v>154</v>
      </c>
      <c r="AT286" s="146" t="s">
        <v>136</v>
      </c>
      <c r="AU286" s="146" t="s">
        <v>82</v>
      </c>
      <c r="AY286" s="18" t="s">
        <v>133</v>
      </c>
      <c r="BE286" s="147">
        <f>IF(N286="základní",J286,0)</f>
        <v>0</v>
      </c>
      <c r="BF286" s="147">
        <f>IF(N286="snížená",J286,0)</f>
        <v>0</v>
      </c>
      <c r="BG286" s="147">
        <f>IF(N286="zákl. přenesená",J286,0)</f>
        <v>0</v>
      </c>
      <c r="BH286" s="147">
        <f>IF(N286="sníž. přenesená",J286,0)</f>
        <v>0</v>
      </c>
      <c r="BI286" s="147">
        <f>IF(N286="nulová",J286,0)</f>
        <v>0</v>
      </c>
      <c r="BJ286" s="18" t="s">
        <v>80</v>
      </c>
      <c r="BK286" s="147">
        <f>ROUND(I286*H286,2)</f>
        <v>0</v>
      </c>
      <c r="BL286" s="18" t="s">
        <v>154</v>
      </c>
      <c r="BM286" s="146" t="s">
        <v>342</v>
      </c>
    </row>
    <row r="287" spans="2:51" s="14" customFormat="1" ht="12">
      <c r="B287" s="155"/>
      <c r="D287" s="149" t="s">
        <v>139</v>
      </c>
      <c r="E287" s="156" t="s">
        <v>3</v>
      </c>
      <c r="F287" s="157">
        <v>2</v>
      </c>
      <c r="H287" s="158">
        <f>F287</f>
        <v>2</v>
      </c>
      <c r="I287" s="271"/>
      <c r="L287" s="155"/>
      <c r="M287" s="159"/>
      <c r="N287" s="160"/>
      <c r="O287" s="160"/>
      <c r="P287" s="160"/>
      <c r="Q287" s="160"/>
      <c r="R287" s="160"/>
      <c r="S287" s="160"/>
      <c r="T287" s="161"/>
      <c r="AT287" s="156" t="s">
        <v>139</v>
      </c>
      <c r="AU287" s="156" t="s">
        <v>82</v>
      </c>
      <c r="AV287" s="14" t="s">
        <v>82</v>
      </c>
      <c r="AW287" s="14" t="s">
        <v>34</v>
      </c>
      <c r="AX287" s="14" t="s">
        <v>80</v>
      </c>
      <c r="AY287" s="156" t="s">
        <v>133</v>
      </c>
    </row>
    <row r="288" spans="2:63" s="12" customFormat="1" ht="22.9" customHeight="1">
      <c r="B288" s="123"/>
      <c r="D288" s="124" t="s">
        <v>71</v>
      </c>
      <c r="E288" s="133" t="s">
        <v>343</v>
      </c>
      <c r="F288" s="133" t="s">
        <v>344</v>
      </c>
      <c r="I288" s="275"/>
      <c r="J288" s="134">
        <f>SUM(J289:J315)</f>
        <v>0</v>
      </c>
      <c r="L288" s="123"/>
      <c r="M288" s="127"/>
      <c r="N288" s="128"/>
      <c r="O288" s="128"/>
      <c r="P288" s="129">
        <f>SUM(P289:P316)</f>
        <v>32.0438125</v>
      </c>
      <c r="Q288" s="128"/>
      <c r="R288" s="129">
        <f>SUM(R289:R316)</f>
        <v>0.09458894400000001</v>
      </c>
      <c r="S288" s="128"/>
      <c r="T288" s="130">
        <f>SUM(T289:T316)</f>
        <v>0</v>
      </c>
      <c r="AR288" s="124" t="s">
        <v>82</v>
      </c>
      <c r="AT288" s="131" t="s">
        <v>71</v>
      </c>
      <c r="AU288" s="131" t="s">
        <v>80</v>
      </c>
      <c r="AY288" s="124" t="s">
        <v>133</v>
      </c>
      <c r="BK288" s="132">
        <f>SUM(BK289:BK316)</f>
        <v>0</v>
      </c>
    </row>
    <row r="289" spans="1:65" s="2" customFormat="1" ht="24.2" customHeight="1">
      <c r="A289" s="30"/>
      <c r="B289" s="135"/>
      <c r="C289" s="136">
        <v>62</v>
      </c>
      <c r="D289" s="136" t="s">
        <v>136</v>
      </c>
      <c r="E289" s="137" t="s">
        <v>345</v>
      </c>
      <c r="F289" s="138" t="s">
        <v>346</v>
      </c>
      <c r="G289" s="139" t="s">
        <v>149</v>
      </c>
      <c r="H289" s="140">
        <f>H292</f>
        <v>52.17</v>
      </c>
      <c r="I289" s="269"/>
      <c r="J289" s="141">
        <f>ROUND(I289*H289,2)</f>
        <v>0</v>
      </c>
      <c r="K289" s="138" t="s">
        <v>141</v>
      </c>
      <c r="L289" s="31"/>
      <c r="M289" s="142" t="s">
        <v>3</v>
      </c>
      <c r="N289" s="143" t="s">
        <v>43</v>
      </c>
      <c r="O289" s="144">
        <v>0.012</v>
      </c>
      <c r="P289" s="144">
        <f>O289*H289</f>
        <v>0.62604</v>
      </c>
      <c r="Q289" s="144">
        <v>0</v>
      </c>
      <c r="R289" s="144">
        <f>Q289*H289</f>
        <v>0</v>
      </c>
      <c r="S289" s="144">
        <v>0</v>
      </c>
      <c r="T289" s="145">
        <f>S289*H289</f>
        <v>0</v>
      </c>
      <c r="U289" s="30"/>
      <c r="V289" s="30"/>
      <c r="W289" s="30"/>
      <c r="X289" s="30"/>
      <c r="Y289" s="30"/>
      <c r="Z289" s="30"/>
      <c r="AA289" s="30"/>
      <c r="AB289" s="30"/>
      <c r="AC289" s="30"/>
      <c r="AD289" s="30"/>
      <c r="AE289" s="30"/>
      <c r="AR289" s="146" t="s">
        <v>154</v>
      </c>
      <c r="AT289" s="146" t="s">
        <v>136</v>
      </c>
      <c r="AU289" s="146" t="s">
        <v>82</v>
      </c>
      <c r="AY289" s="18" t="s">
        <v>133</v>
      </c>
      <c r="BE289" s="147">
        <f>IF(N289="základní",J289,0)</f>
        <v>0</v>
      </c>
      <c r="BF289" s="147">
        <f>IF(N289="snížená",J289,0)</f>
        <v>0</v>
      </c>
      <c r="BG289" s="147">
        <f>IF(N289="zákl. přenesená",J289,0)</f>
        <v>0</v>
      </c>
      <c r="BH289" s="147">
        <f>IF(N289="sníž. přenesená",J289,0)</f>
        <v>0</v>
      </c>
      <c r="BI289" s="147">
        <f>IF(N289="nulová",J289,0)</f>
        <v>0</v>
      </c>
      <c r="BJ289" s="18" t="s">
        <v>80</v>
      </c>
      <c r="BK289" s="147">
        <f>ROUND(I289*H289,2)</f>
        <v>0</v>
      </c>
      <c r="BL289" s="18" t="s">
        <v>154</v>
      </c>
      <c r="BM289" s="146" t="s">
        <v>347</v>
      </c>
    </row>
    <row r="290" spans="1:47" s="2" customFormat="1" ht="39">
      <c r="A290" s="30"/>
      <c r="B290" s="31"/>
      <c r="C290" s="30"/>
      <c r="D290" s="149" t="s">
        <v>142</v>
      </c>
      <c r="E290" s="30"/>
      <c r="F290" s="162" t="s">
        <v>348</v>
      </c>
      <c r="G290" s="30"/>
      <c r="H290" s="30"/>
      <c r="I290" s="270"/>
      <c r="J290" s="30"/>
      <c r="K290" s="30"/>
      <c r="L290" s="31"/>
      <c r="M290" s="163"/>
      <c r="N290" s="164"/>
      <c r="O290" s="51"/>
      <c r="P290" s="51"/>
      <c r="Q290" s="51"/>
      <c r="R290" s="51"/>
      <c r="S290" s="51"/>
      <c r="T290" s="52"/>
      <c r="U290" s="30"/>
      <c r="V290" s="30"/>
      <c r="W290" s="30"/>
      <c r="X290" s="30"/>
      <c r="Y290" s="30"/>
      <c r="Z290" s="30"/>
      <c r="AA290" s="30"/>
      <c r="AB290" s="30"/>
      <c r="AC290" s="30"/>
      <c r="AD290" s="30"/>
      <c r="AE290" s="30"/>
      <c r="AT290" s="18" t="s">
        <v>142</v>
      </c>
      <c r="AU290" s="18" t="s">
        <v>82</v>
      </c>
    </row>
    <row r="291" spans="2:51" s="13" customFormat="1" ht="12">
      <c r="B291" s="148"/>
      <c r="D291" s="149" t="s">
        <v>139</v>
      </c>
      <c r="E291" s="150" t="s">
        <v>3</v>
      </c>
      <c r="F291" s="151" t="s">
        <v>895</v>
      </c>
      <c r="H291" s="150" t="s">
        <v>3</v>
      </c>
      <c r="I291" s="273"/>
      <c r="L291" s="148"/>
      <c r="M291" s="152"/>
      <c r="N291" s="153"/>
      <c r="O291" s="153"/>
      <c r="P291" s="153"/>
      <c r="Q291" s="153"/>
      <c r="R291" s="153"/>
      <c r="S291" s="153"/>
      <c r="T291" s="154"/>
      <c r="AT291" s="150" t="s">
        <v>139</v>
      </c>
      <c r="AU291" s="150" t="s">
        <v>82</v>
      </c>
      <c r="AV291" s="13" t="s">
        <v>80</v>
      </c>
      <c r="AW291" s="13" t="s">
        <v>34</v>
      </c>
      <c r="AX291" s="13" t="s">
        <v>72</v>
      </c>
      <c r="AY291" s="150" t="s">
        <v>133</v>
      </c>
    </row>
    <row r="292" spans="2:51" s="14" customFormat="1" ht="12">
      <c r="B292" s="155"/>
      <c r="D292" s="149" t="s">
        <v>139</v>
      </c>
      <c r="E292" s="156" t="s">
        <v>3</v>
      </c>
      <c r="F292" s="157" t="s">
        <v>991</v>
      </c>
      <c r="H292" s="158">
        <f>13.76+17.47+20.94</f>
        <v>52.17</v>
      </c>
      <c r="I292" s="271"/>
      <c r="L292" s="155"/>
      <c r="M292" s="159"/>
      <c r="N292" s="160"/>
      <c r="O292" s="160"/>
      <c r="P292" s="160"/>
      <c r="Q292" s="160"/>
      <c r="R292" s="160"/>
      <c r="S292" s="160"/>
      <c r="T292" s="161"/>
      <c r="AT292" s="156" t="s">
        <v>139</v>
      </c>
      <c r="AU292" s="156" t="s">
        <v>82</v>
      </c>
      <c r="AV292" s="14" t="s">
        <v>82</v>
      </c>
      <c r="AW292" s="14" t="s">
        <v>34</v>
      </c>
      <c r="AX292" s="14" t="s">
        <v>80</v>
      </c>
      <c r="AY292" s="156" t="s">
        <v>133</v>
      </c>
    </row>
    <row r="293" spans="1:65" s="2" customFormat="1" ht="14.45" customHeight="1">
      <c r="A293" s="30"/>
      <c r="B293" s="135"/>
      <c r="C293" s="172">
        <v>63</v>
      </c>
      <c r="D293" s="172" t="s">
        <v>146</v>
      </c>
      <c r="E293" s="173" t="s">
        <v>349</v>
      </c>
      <c r="F293" s="174" t="s">
        <v>350</v>
      </c>
      <c r="G293" s="175" t="s">
        <v>149</v>
      </c>
      <c r="H293" s="176">
        <f>H294</f>
        <v>54.7785</v>
      </c>
      <c r="I293" s="272"/>
      <c r="J293" s="177">
        <f>ROUND(I293*H293,2)</f>
        <v>0</v>
      </c>
      <c r="K293" s="174" t="s">
        <v>141</v>
      </c>
      <c r="L293" s="178"/>
      <c r="M293" s="179" t="s">
        <v>3</v>
      </c>
      <c r="N293" s="180" t="s">
        <v>43</v>
      </c>
      <c r="O293" s="144">
        <v>0</v>
      </c>
      <c r="P293" s="144">
        <f>O293*H293</f>
        <v>0</v>
      </c>
      <c r="Q293" s="144">
        <v>0</v>
      </c>
      <c r="R293" s="144">
        <f>Q293*H293</f>
        <v>0</v>
      </c>
      <c r="S293" s="144">
        <v>0</v>
      </c>
      <c r="T293" s="145">
        <f>S293*H293</f>
        <v>0</v>
      </c>
      <c r="U293" s="30"/>
      <c r="V293" s="30"/>
      <c r="W293" s="30"/>
      <c r="X293" s="30"/>
      <c r="Y293" s="30"/>
      <c r="Z293" s="30"/>
      <c r="AA293" s="30"/>
      <c r="AB293" s="30"/>
      <c r="AC293" s="30"/>
      <c r="AD293" s="30"/>
      <c r="AE293" s="30"/>
      <c r="AR293" s="146" t="s">
        <v>162</v>
      </c>
      <c r="AT293" s="146" t="s">
        <v>146</v>
      </c>
      <c r="AU293" s="146" t="s">
        <v>82</v>
      </c>
      <c r="AY293" s="18" t="s">
        <v>133</v>
      </c>
      <c r="BE293" s="147">
        <f>IF(N293="základní",J293,0)</f>
        <v>0</v>
      </c>
      <c r="BF293" s="147">
        <f>IF(N293="snížená",J293,0)</f>
        <v>0</v>
      </c>
      <c r="BG293" s="147">
        <f>IF(N293="zákl. přenesená",J293,0)</f>
        <v>0</v>
      </c>
      <c r="BH293" s="147">
        <f>IF(N293="sníž. přenesená",J293,0)</f>
        <v>0</v>
      </c>
      <c r="BI293" s="147">
        <f>IF(N293="nulová",J293,0)</f>
        <v>0</v>
      </c>
      <c r="BJ293" s="18" t="s">
        <v>80</v>
      </c>
      <c r="BK293" s="147">
        <f>ROUND(I293*H293,2)</f>
        <v>0</v>
      </c>
      <c r="BL293" s="18" t="s">
        <v>154</v>
      </c>
      <c r="BM293" s="146" t="s">
        <v>351</v>
      </c>
    </row>
    <row r="294" spans="2:51" s="14" customFormat="1" ht="12">
      <c r="B294" s="155"/>
      <c r="D294" s="149" t="s">
        <v>139</v>
      </c>
      <c r="F294" s="157" t="s">
        <v>992</v>
      </c>
      <c r="H294" s="158">
        <f>H289*1.05</f>
        <v>54.7785</v>
      </c>
      <c r="I294" s="271"/>
      <c r="L294" s="155"/>
      <c r="M294" s="159"/>
      <c r="N294" s="160"/>
      <c r="O294" s="160"/>
      <c r="P294" s="160"/>
      <c r="Q294" s="160"/>
      <c r="R294" s="160"/>
      <c r="S294" s="160"/>
      <c r="T294" s="161"/>
      <c r="AT294" s="156" t="s">
        <v>139</v>
      </c>
      <c r="AU294" s="156" t="s">
        <v>82</v>
      </c>
      <c r="AV294" s="14" t="s">
        <v>82</v>
      </c>
      <c r="AW294" s="14" t="s">
        <v>4</v>
      </c>
      <c r="AX294" s="14" t="s">
        <v>80</v>
      </c>
      <c r="AY294" s="156" t="s">
        <v>133</v>
      </c>
    </row>
    <row r="295" spans="1:65" s="2" customFormat="1" ht="37.9" customHeight="1">
      <c r="A295" s="30"/>
      <c r="B295" s="135"/>
      <c r="C295" s="136">
        <v>64</v>
      </c>
      <c r="D295" s="136" t="s">
        <v>136</v>
      </c>
      <c r="E295" s="137" t="s">
        <v>352</v>
      </c>
      <c r="F295" s="138" t="s">
        <v>353</v>
      </c>
      <c r="G295" s="139" t="s">
        <v>149</v>
      </c>
      <c r="H295" s="140">
        <f>H299</f>
        <v>17.089399999999998</v>
      </c>
      <c r="I295" s="269"/>
      <c r="J295" s="141">
        <f>ROUND(I295*H295,2)</f>
        <v>0</v>
      </c>
      <c r="K295" s="138" t="s">
        <v>141</v>
      </c>
      <c r="L295" s="31"/>
      <c r="M295" s="142" t="s">
        <v>3</v>
      </c>
      <c r="N295" s="143" t="s">
        <v>43</v>
      </c>
      <c r="O295" s="144">
        <v>0.016</v>
      </c>
      <c r="P295" s="144">
        <f>O295*H295</f>
        <v>0.27343039999999996</v>
      </c>
      <c r="Q295" s="144">
        <v>0</v>
      </c>
      <c r="R295" s="144">
        <f>Q295*H295</f>
        <v>0</v>
      </c>
      <c r="S295" s="144">
        <v>0</v>
      </c>
      <c r="T295" s="145">
        <f>S295*H295</f>
        <v>0</v>
      </c>
      <c r="U295" s="30"/>
      <c r="V295" s="30"/>
      <c r="W295" s="30"/>
      <c r="X295" s="30"/>
      <c r="Y295" s="30"/>
      <c r="Z295" s="30"/>
      <c r="AA295" s="30"/>
      <c r="AB295" s="30"/>
      <c r="AC295" s="30"/>
      <c r="AD295" s="30"/>
      <c r="AE295" s="30"/>
      <c r="AR295" s="146" t="s">
        <v>154</v>
      </c>
      <c r="AT295" s="146" t="s">
        <v>136</v>
      </c>
      <c r="AU295" s="146" t="s">
        <v>82</v>
      </c>
      <c r="AY295" s="18" t="s">
        <v>133</v>
      </c>
      <c r="BE295" s="147">
        <f>IF(N295="základní",J295,0)</f>
        <v>0</v>
      </c>
      <c r="BF295" s="147">
        <f>IF(N295="snížená",J295,0)</f>
        <v>0</v>
      </c>
      <c r="BG295" s="147">
        <f>IF(N295="zákl. přenesená",J295,0)</f>
        <v>0</v>
      </c>
      <c r="BH295" s="147">
        <f>IF(N295="sníž. přenesená",J295,0)</f>
        <v>0</v>
      </c>
      <c r="BI295" s="147">
        <f>IF(N295="nulová",J295,0)</f>
        <v>0</v>
      </c>
      <c r="BJ295" s="18" t="s">
        <v>80</v>
      </c>
      <c r="BK295" s="147">
        <f>ROUND(I295*H295,2)</f>
        <v>0</v>
      </c>
      <c r="BL295" s="18" t="s">
        <v>154</v>
      </c>
      <c r="BM295" s="146" t="s">
        <v>354</v>
      </c>
    </row>
    <row r="296" spans="1:47" s="2" customFormat="1" ht="39">
      <c r="A296" s="30"/>
      <c r="B296" s="31"/>
      <c r="C296" s="30"/>
      <c r="D296" s="149" t="s">
        <v>142</v>
      </c>
      <c r="E296" s="30"/>
      <c r="F296" s="162" t="s">
        <v>348</v>
      </c>
      <c r="G296" s="30"/>
      <c r="H296" s="30"/>
      <c r="I296" s="270"/>
      <c r="J296" s="30"/>
      <c r="K296" s="30"/>
      <c r="L296" s="31"/>
      <c r="M296" s="163"/>
      <c r="N296" s="164"/>
      <c r="O296" s="51"/>
      <c r="P296" s="51"/>
      <c r="Q296" s="51"/>
      <c r="R296" s="51"/>
      <c r="S296" s="51"/>
      <c r="T296" s="52"/>
      <c r="U296" s="30"/>
      <c r="V296" s="30"/>
      <c r="W296" s="30"/>
      <c r="X296" s="30"/>
      <c r="Y296" s="30"/>
      <c r="Z296" s="30"/>
      <c r="AA296" s="30"/>
      <c r="AB296" s="30"/>
      <c r="AC296" s="30"/>
      <c r="AD296" s="30"/>
      <c r="AE296" s="30"/>
      <c r="AT296" s="18" t="s">
        <v>142</v>
      </c>
      <c r="AU296" s="18" t="s">
        <v>82</v>
      </c>
    </row>
    <row r="297" spans="2:51" s="14" customFormat="1" ht="12">
      <c r="B297" s="155"/>
      <c r="D297" s="149" t="s">
        <v>139</v>
      </c>
      <c r="E297" s="156" t="s">
        <v>3</v>
      </c>
      <c r="F297" s="157" t="s">
        <v>997</v>
      </c>
      <c r="H297" s="158">
        <f>(1.5*1.5*3+1.9*1.5+1*0.79*2)</f>
        <v>11.18</v>
      </c>
      <c r="I297" s="271"/>
      <c r="L297" s="155"/>
      <c r="M297" s="159"/>
      <c r="N297" s="160"/>
      <c r="O297" s="160"/>
      <c r="P297" s="160"/>
      <c r="Q297" s="160"/>
      <c r="R297" s="160"/>
      <c r="S297" s="160"/>
      <c r="T297" s="161"/>
      <c r="AT297" s="156" t="s">
        <v>139</v>
      </c>
      <c r="AU297" s="156" t="s">
        <v>82</v>
      </c>
      <c r="AV297" s="14" t="s">
        <v>82</v>
      </c>
      <c r="AW297" s="14" t="s">
        <v>34</v>
      </c>
      <c r="AX297" s="14" t="s">
        <v>72</v>
      </c>
      <c r="AY297" s="156" t="s">
        <v>133</v>
      </c>
    </row>
    <row r="298" spans="2:51" s="14" customFormat="1" ht="12">
      <c r="B298" s="155"/>
      <c r="D298" s="149" t="s">
        <v>139</v>
      </c>
      <c r="E298" s="156" t="s">
        <v>3</v>
      </c>
      <c r="F298" s="157" t="s">
        <v>993</v>
      </c>
      <c r="H298" s="158">
        <f>(3*0.98*2.01)</f>
        <v>5.909399999999999</v>
      </c>
      <c r="I298" s="271"/>
      <c r="L298" s="155"/>
      <c r="M298" s="159"/>
      <c r="N298" s="160"/>
      <c r="O298" s="160"/>
      <c r="P298" s="160"/>
      <c r="Q298" s="160"/>
      <c r="R298" s="160"/>
      <c r="S298" s="160"/>
      <c r="T298" s="161"/>
      <c r="AT298" s="156" t="s">
        <v>139</v>
      </c>
      <c r="AU298" s="156" t="s">
        <v>82</v>
      </c>
      <c r="AV298" s="14" t="s">
        <v>82</v>
      </c>
      <c r="AW298" s="14" t="s">
        <v>34</v>
      </c>
      <c r="AX298" s="14" t="s">
        <v>72</v>
      </c>
      <c r="AY298" s="156" t="s">
        <v>133</v>
      </c>
    </row>
    <row r="299" spans="2:51" s="15" customFormat="1" ht="12">
      <c r="B299" s="165"/>
      <c r="D299" s="149" t="s">
        <v>139</v>
      </c>
      <c r="E299" s="166" t="s">
        <v>3</v>
      </c>
      <c r="F299" s="167" t="s">
        <v>143</v>
      </c>
      <c r="H299" s="168">
        <f>H297+H298</f>
        <v>17.089399999999998</v>
      </c>
      <c r="I299" s="274"/>
      <c r="L299" s="165"/>
      <c r="M299" s="169"/>
      <c r="N299" s="170"/>
      <c r="O299" s="170"/>
      <c r="P299" s="170"/>
      <c r="Q299" s="170"/>
      <c r="R299" s="170"/>
      <c r="S299" s="170"/>
      <c r="T299" s="171"/>
      <c r="AT299" s="166" t="s">
        <v>139</v>
      </c>
      <c r="AU299" s="166" t="s">
        <v>82</v>
      </c>
      <c r="AV299" s="15" t="s">
        <v>138</v>
      </c>
      <c r="AW299" s="15" t="s">
        <v>34</v>
      </c>
      <c r="AX299" s="15" t="s">
        <v>80</v>
      </c>
      <c r="AY299" s="166" t="s">
        <v>133</v>
      </c>
    </row>
    <row r="300" spans="1:65" s="2" customFormat="1" ht="14.45" customHeight="1">
      <c r="A300" s="30"/>
      <c r="B300" s="135"/>
      <c r="C300" s="172">
        <v>65</v>
      </c>
      <c r="D300" s="172" t="s">
        <v>146</v>
      </c>
      <c r="E300" s="173" t="s">
        <v>349</v>
      </c>
      <c r="F300" s="174" t="s">
        <v>350</v>
      </c>
      <c r="G300" s="175" t="s">
        <v>149</v>
      </c>
      <c r="H300" s="176">
        <f>H301</f>
        <v>17.943869999999997</v>
      </c>
      <c r="I300" s="272"/>
      <c r="J300" s="177">
        <f>ROUND(I300*H300,2)</f>
        <v>0</v>
      </c>
      <c r="K300" s="174" t="s">
        <v>141</v>
      </c>
      <c r="L300" s="178"/>
      <c r="M300" s="179" t="s">
        <v>3</v>
      </c>
      <c r="N300" s="180" t="s">
        <v>43</v>
      </c>
      <c r="O300" s="144">
        <v>0</v>
      </c>
      <c r="P300" s="144">
        <f>O300*H300</f>
        <v>0</v>
      </c>
      <c r="Q300" s="144">
        <v>0</v>
      </c>
      <c r="R300" s="144">
        <f>Q300*H300</f>
        <v>0</v>
      </c>
      <c r="S300" s="144">
        <v>0</v>
      </c>
      <c r="T300" s="145">
        <f>S300*H300</f>
        <v>0</v>
      </c>
      <c r="U300" s="30"/>
      <c r="V300" s="30"/>
      <c r="W300" s="30"/>
      <c r="X300" s="30"/>
      <c r="Y300" s="30"/>
      <c r="Z300" s="30"/>
      <c r="AA300" s="30"/>
      <c r="AB300" s="30"/>
      <c r="AC300" s="30"/>
      <c r="AD300" s="30"/>
      <c r="AE300" s="30"/>
      <c r="AR300" s="146" t="s">
        <v>162</v>
      </c>
      <c r="AT300" s="146" t="s">
        <v>146</v>
      </c>
      <c r="AU300" s="146" t="s">
        <v>82</v>
      </c>
      <c r="AY300" s="18" t="s">
        <v>133</v>
      </c>
      <c r="BE300" s="147">
        <f>IF(N300="základní",J300,0)</f>
        <v>0</v>
      </c>
      <c r="BF300" s="147">
        <f>IF(N300="snížená",J300,0)</f>
        <v>0</v>
      </c>
      <c r="BG300" s="147">
        <f>IF(N300="zákl. přenesená",J300,0)</f>
        <v>0</v>
      </c>
      <c r="BH300" s="147">
        <f>IF(N300="sníž. přenesená",J300,0)</f>
        <v>0</v>
      </c>
      <c r="BI300" s="147">
        <f>IF(N300="nulová",J300,0)</f>
        <v>0</v>
      </c>
      <c r="BJ300" s="18" t="s">
        <v>80</v>
      </c>
      <c r="BK300" s="147">
        <f>ROUND(I300*H300,2)</f>
        <v>0</v>
      </c>
      <c r="BL300" s="18" t="s">
        <v>154</v>
      </c>
      <c r="BM300" s="146" t="s">
        <v>355</v>
      </c>
    </row>
    <row r="301" spans="2:51" s="14" customFormat="1" ht="12">
      <c r="B301" s="155"/>
      <c r="D301" s="149" t="s">
        <v>139</v>
      </c>
      <c r="F301" s="157" t="s">
        <v>998</v>
      </c>
      <c r="H301" s="158">
        <f>H295*1.05</f>
        <v>17.943869999999997</v>
      </c>
      <c r="I301" s="271"/>
      <c r="L301" s="155"/>
      <c r="M301" s="159"/>
      <c r="N301" s="160"/>
      <c r="O301" s="160"/>
      <c r="P301" s="160"/>
      <c r="Q301" s="160"/>
      <c r="R301" s="160"/>
      <c r="S301" s="160"/>
      <c r="T301" s="161"/>
      <c r="AT301" s="156" t="s">
        <v>139</v>
      </c>
      <c r="AU301" s="156" t="s">
        <v>82</v>
      </c>
      <c r="AV301" s="14" t="s">
        <v>82</v>
      </c>
      <c r="AW301" s="14" t="s">
        <v>4</v>
      </c>
      <c r="AX301" s="14" t="s">
        <v>80</v>
      </c>
      <c r="AY301" s="156" t="s">
        <v>133</v>
      </c>
    </row>
    <row r="302" spans="1:65" s="2" customFormat="1" ht="24.2" customHeight="1">
      <c r="A302" s="30"/>
      <c r="B302" s="135"/>
      <c r="C302" s="136">
        <v>66</v>
      </c>
      <c r="D302" s="136" t="s">
        <v>136</v>
      </c>
      <c r="E302" s="137" t="s">
        <v>356</v>
      </c>
      <c r="F302" s="138" t="s">
        <v>357</v>
      </c>
      <c r="G302" s="139" t="s">
        <v>149</v>
      </c>
      <c r="H302" s="140">
        <f>H310</f>
        <v>204.12250000000003</v>
      </c>
      <c r="I302" s="269"/>
      <c r="J302" s="141">
        <f>ROUND(I302*H302,2)</f>
        <v>0</v>
      </c>
      <c r="K302" s="138" t="s">
        <v>141</v>
      </c>
      <c r="L302" s="31"/>
      <c r="M302" s="142" t="s">
        <v>3</v>
      </c>
      <c r="N302" s="143" t="s">
        <v>43</v>
      </c>
      <c r="O302" s="144">
        <v>0.012</v>
      </c>
      <c r="P302" s="144">
        <f>O302*H302</f>
        <v>2.4494700000000003</v>
      </c>
      <c r="Q302" s="144">
        <v>0</v>
      </c>
      <c r="R302" s="144">
        <f>Q302*H302</f>
        <v>0</v>
      </c>
      <c r="S302" s="144">
        <v>0</v>
      </c>
      <c r="T302" s="145">
        <f>S302*H302</f>
        <v>0</v>
      </c>
      <c r="U302" s="30"/>
      <c r="V302" s="30"/>
      <c r="W302" s="30"/>
      <c r="X302" s="30"/>
      <c r="Y302" s="30"/>
      <c r="Z302" s="30"/>
      <c r="AA302" s="30"/>
      <c r="AB302" s="30"/>
      <c r="AC302" s="30"/>
      <c r="AD302" s="30"/>
      <c r="AE302" s="30"/>
      <c r="AR302" s="146" t="s">
        <v>154</v>
      </c>
      <c r="AT302" s="146" t="s">
        <v>136</v>
      </c>
      <c r="AU302" s="146" t="s">
        <v>82</v>
      </c>
      <c r="AY302" s="18" t="s">
        <v>133</v>
      </c>
      <c r="BE302" s="147">
        <f>IF(N302="základní",J302,0)</f>
        <v>0</v>
      </c>
      <c r="BF302" s="147">
        <f>IF(N302="snížená",J302,0)</f>
        <v>0</v>
      </c>
      <c r="BG302" s="147">
        <f>IF(N302="zákl. přenesená",J302,0)</f>
        <v>0</v>
      </c>
      <c r="BH302" s="147">
        <f>IF(N302="sníž. přenesená",J302,0)</f>
        <v>0</v>
      </c>
      <c r="BI302" s="147">
        <f>IF(N302="nulová",J302,0)</f>
        <v>0</v>
      </c>
      <c r="BJ302" s="18" t="s">
        <v>80</v>
      </c>
      <c r="BK302" s="147">
        <f>ROUND(I302*H302,2)</f>
        <v>0</v>
      </c>
      <c r="BL302" s="18" t="s">
        <v>154</v>
      </c>
      <c r="BM302" s="146" t="s">
        <v>358</v>
      </c>
    </row>
    <row r="303" spans="2:51" s="13" customFormat="1" ht="12">
      <c r="B303" s="148"/>
      <c r="D303" s="149" t="s">
        <v>139</v>
      </c>
      <c r="E303" s="150" t="s">
        <v>3</v>
      </c>
      <c r="F303" s="151" t="s">
        <v>152</v>
      </c>
      <c r="H303" s="150" t="s">
        <v>3</v>
      </c>
      <c r="I303" s="273"/>
      <c r="L303" s="148"/>
      <c r="M303" s="152"/>
      <c r="N303" s="153"/>
      <c r="O303" s="153"/>
      <c r="P303" s="153"/>
      <c r="Q303" s="153"/>
      <c r="R303" s="153"/>
      <c r="S303" s="153"/>
      <c r="T303" s="154"/>
      <c r="AT303" s="150" t="s">
        <v>139</v>
      </c>
      <c r="AU303" s="150" t="s">
        <v>82</v>
      </c>
      <c r="AV303" s="13" t="s">
        <v>80</v>
      </c>
      <c r="AW303" s="13" t="s">
        <v>34</v>
      </c>
      <c r="AX303" s="13" t="s">
        <v>72</v>
      </c>
      <c r="AY303" s="150" t="s">
        <v>133</v>
      </c>
    </row>
    <row r="304" spans="2:51" s="14" customFormat="1" ht="12">
      <c r="B304" s="155"/>
      <c r="D304" s="149" t="s">
        <v>139</v>
      </c>
      <c r="E304" s="156" t="s">
        <v>3</v>
      </c>
      <c r="F304" s="157" t="s">
        <v>994</v>
      </c>
      <c r="H304" s="158"/>
      <c r="I304" s="271"/>
      <c r="L304" s="155"/>
      <c r="M304" s="159"/>
      <c r="N304" s="160"/>
      <c r="O304" s="160"/>
      <c r="P304" s="160"/>
      <c r="Q304" s="160"/>
      <c r="R304" s="160"/>
      <c r="S304" s="160"/>
      <c r="T304" s="161"/>
      <c r="AT304" s="156" t="s">
        <v>139</v>
      </c>
      <c r="AU304" s="156" t="s">
        <v>82</v>
      </c>
      <c r="AV304" s="14" t="s">
        <v>82</v>
      </c>
      <c r="AW304" s="14" t="s">
        <v>34</v>
      </c>
      <c r="AX304" s="14" t="s">
        <v>72</v>
      </c>
      <c r="AY304" s="156" t="s">
        <v>133</v>
      </c>
    </row>
    <row r="305" spans="2:51" s="14" customFormat="1" ht="12">
      <c r="B305" s="155"/>
      <c r="D305" s="149" t="s">
        <v>139</v>
      </c>
      <c r="E305" s="156" t="s">
        <v>3</v>
      </c>
      <c r="F305" s="157" t="s">
        <v>934</v>
      </c>
      <c r="H305" s="158">
        <f>((6.65+2.12)*2+0.43*2)*2.85+((5.71+3.06)*2)*2.85</f>
        <v>102.429</v>
      </c>
      <c r="I305" s="271"/>
      <c r="L305" s="155"/>
      <c r="M305" s="159"/>
      <c r="N305" s="160"/>
      <c r="O305" s="160"/>
      <c r="P305" s="160"/>
      <c r="Q305" s="160"/>
      <c r="R305" s="160"/>
      <c r="S305" s="160"/>
      <c r="T305" s="161"/>
      <c r="AT305" s="156" t="s">
        <v>139</v>
      </c>
      <c r="AU305" s="156" t="s">
        <v>82</v>
      </c>
      <c r="AV305" s="14" t="s">
        <v>82</v>
      </c>
      <c r="AW305" s="14" t="s">
        <v>34</v>
      </c>
      <c r="AX305" s="14" t="s">
        <v>72</v>
      </c>
      <c r="AY305" s="156" t="s">
        <v>133</v>
      </c>
    </row>
    <row r="306" spans="2:51" s="14" customFormat="1" ht="12">
      <c r="B306" s="155"/>
      <c r="D306" s="149" t="s">
        <v>139</v>
      </c>
      <c r="E306" s="156" t="s">
        <v>3</v>
      </c>
      <c r="F306" s="157" t="s">
        <v>995</v>
      </c>
      <c r="H306" s="158"/>
      <c r="I306" s="271"/>
      <c r="L306" s="155"/>
      <c r="M306" s="159"/>
      <c r="N306" s="160"/>
      <c r="O306" s="160"/>
      <c r="P306" s="160"/>
      <c r="Q306" s="160"/>
      <c r="R306" s="160"/>
      <c r="S306" s="160"/>
      <c r="T306" s="161"/>
      <c r="AT306" s="156" t="s">
        <v>139</v>
      </c>
      <c r="AU306" s="156" t="s">
        <v>82</v>
      </c>
      <c r="AV306" s="14" t="s">
        <v>82</v>
      </c>
      <c r="AW306" s="14" t="s">
        <v>34</v>
      </c>
      <c r="AX306" s="14" t="s">
        <v>72</v>
      </c>
      <c r="AY306" s="156" t="s">
        <v>133</v>
      </c>
    </row>
    <row r="307" spans="2:51" s="14" customFormat="1" ht="12">
      <c r="B307" s="155"/>
      <c r="D307" s="149" t="s">
        <v>139</v>
      </c>
      <c r="E307" s="156" t="s">
        <v>3</v>
      </c>
      <c r="F307" s="157" t="s">
        <v>996</v>
      </c>
      <c r="H307" s="158">
        <f>((6.65+4.32)*2+0.58*2)*2.85</f>
        <v>65.83500000000001</v>
      </c>
      <c r="I307" s="271"/>
      <c r="L307" s="155"/>
      <c r="M307" s="159"/>
      <c r="N307" s="160"/>
      <c r="O307" s="160"/>
      <c r="P307" s="160"/>
      <c r="Q307" s="160"/>
      <c r="R307" s="160"/>
      <c r="S307" s="160"/>
      <c r="T307" s="161"/>
      <c r="AT307" s="156" t="s">
        <v>139</v>
      </c>
      <c r="AU307" s="156" t="s">
        <v>82</v>
      </c>
      <c r="AV307" s="14" t="s">
        <v>82</v>
      </c>
      <c r="AW307" s="14" t="s">
        <v>34</v>
      </c>
      <c r="AX307" s="14" t="s">
        <v>72</v>
      </c>
      <c r="AY307" s="156" t="s">
        <v>133</v>
      </c>
    </row>
    <row r="308" spans="2:51" s="14" customFormat="1" ht="12">
      <c r="B308" s="155"/>
      <c r="D308" s="149" t="s">
        <v>139</v>
      </c>
      <c r="E308" s="156" t="s">
        <v>3</v>
      </c>
      <c r="F308" s="157" t="s">
        <v>896</v>
      </c>
      <c r="H308" s="158">
        <f>H169</f>
        <v>56.8875</v>
      </c>
      <c r="I308" s="271"/>
      <c r="L308" s="155"/>
      <c r="M308" s="159"/>
      <c r="N308" s="160"/>
      <c r="O308" s="160"/>
      <c r="P308" s="160"/>
      <c r="Q308" s="160"/>
      <c r="R308" s="160"/>
      <c r="S308" s="160"/>
      <c r="T308" s="161"/>
      <c r="AT308" s="156" t="s">
        <v>139</v>
      </c>
      <c r="AU308" s="156" t="s">
        <v>82</v>
      </c>
      <c r="AV308" s="14" t="s">
        <v>82</v>
      </c>
      <c r="AW308" s="14" t="s">
        <v>34</v>
      </c>
      <c r="AX308" s="14" t="s">
        <v>72</v>
      </c>
      <c r="AY308" s="156" t="s">
        <v>133</v>
      </c>
    </row>
    <row r="309" spans="2:51" s="14" customFormat="1" ht="12">
      <c r="B309" s="155"/>
      <c r="D309" s="149" t="s">
        <v>139</v>
      </c>
      <c r="E309" s="156" t="s">
        <v>3</v>
      </c>
      <c r="F309" s="157" t="s">
        <v>933</v>
      </c>
      <c r="H309" s="158">
        <f>H295+0.98*2.01*2</f>
        <v>21.028999999999996</v>
      </c>
      <c r="I309" s="271"/>
      <c r="L309" s="155"/>
      <c r="M309" s="159"/>
      <c r="N309" s="160"/>
      <c r="O309" s="160"/>
      <c r="P309" s="160"/>
      <c r="Q309" s="160"/>
      <c r="R309" s="160"/>
      <c r="S309" s="160"/>
      <c r="T309" s="161"/>
      <c r="AT309" s="156" t="s">
        <v>139</v>
      </c>
      <c r="AU309" s="156" t="s">
        <v>82</v>
      </c>
      <c r="AV309" s="14" t="s">
        <v>82</v>
      </c>
      <c r="AW309" s="14" t="s">
        <v>34</v>
      </c>
      <c r="AX309" s="14" t="s">
        <v>72</v>
      </c>
      <c r="AY309" s="156" t="s">
        <v>133</v>
      </c>
    </row>
    <row r="310" spans="2:51" s="15" customFormat="1" ht="12">
      <c r="B310" s="165"/>
      <c r="D310" s="149" t="s">
        <v>139</v>
      </c>
      <c r="E310" s="166" t="s">
        <v>3</v>
      </c>
      <c r="F310" s="167" t="s">
        <v>143</v>
      </c>
      <c r="H310" s="168">
        <f>H305+H308-H309+H307</f>
        <v>204.12250000000003</v>
      </c>
      <c r="I310" s="274"/>
      <c r="L310" s="165"/>
      <c r="M310" s="169"/>
      <c r="N310" s="170"/>
      <c r="O310" s="170"/>
      <c r="P310" s="170"/>
      <c r="Q310" s="170"/>
      <c r="R310" s="170"/>
      <c r="S310" s="170"/>
      <c r="T310" s="171"/>
      <c r="AT310" s="166" t="s">
        <v>139</v>
      </c>
      <c r="AU310" s="166" t="s">
        <v>82</v>
      </c>
      <c r="AV310" s="15" t="s">
        <v>138</v>
      </c>
      <c r="AW310" s="15" t="s">
        <v>34</v>
      </c>
      <c r="AX310" s="15" t="s">
        <v>80</v>
      </c>
      <c r="AY310" s="166" t="s">
        <v>133</v>
      </c>
    </row>
    <row r="311" spans="1:65" s="2" customFormat="1" ht="24.2" customHeight="1">
      <c r="A311" s="30"/>
      <c r="B311" s="135"/>
      <c r="C311" s="136">
        <v>67</v>
      </c>
      <c r="D311" s="136" t="s">
        <v>136</v>
      </c>
      <c r="E311" s="137" t="s">
        <v>359</v>
      </c>
      <c r="F311" s="138" t="s">
        <v>360</v>
      </c>
      <c r="G311" s="139" t="s">
        <v>149</v>
      </c>
      <c r="H311" s="140">
        <f>H302</f>
        <v>204.12250000000003</v>
      </c>
      <c r="I311" s="269"/>
      <c r="J311" s="141">
        <f>ROUND(I311*H311,2)</f>
        <v>0</v>
      </c>
      <c r="K311" s="138" t="s">
        <v>141</v>
      </c>
      <c r="L311" s="31"/>
      <c r="M311" s="142" t="s">
        <v>3</v>
      </c>
      <c r="N311" s="143" t="s">
        <v>43</v>
      </c>
      <c r="O311" s="144">
        <v>0.033</v>
      </c>
      <c r="P311" s="144">
        <f>O311*H311</f>
        <v>6.736042500000002</v>
      </c>
      <c r="Q311" s="144">
        <v>0.0002</v>
      </c>
      <c r="R311" s="144">
        <f>Q311*H311</f>
        <v>0.04082450000000001</v>
      </c>
      <c r="S311" s="144">
        <v>0</v>
      </c>
      <c r="T311" s="145">
        <f>S311*H311</f>
        <v>0</v>
      </c>
      <c r="U311" s="30"/>
      <c r="V311" s="30"/>
      <c r="W311" s="30"/>
      <c r="X311" s="30"/>
      <c r="Y311" s="30"/>
      <c r="Z311" s="30"/>
      <c r="AA311" s="30"/>
      <c r="AB311" s="30"/>
      <c r="AC311" s="30"/>
      <c r="AD311" s="30"/>
      <c r="AE311" s="30"/>
      <c r="AR311" s="146" t="s">
        <v>154</v>
      </c>
      <c r="AT311" s="146" t="s">
        <v>136</v>
      </c>
      <c r="AU311" s="146" t="s">
        <v>82</v>
      </c>
      <c r="AY311" s="18" t="s">
        <v>133</v>
      </c>
      <c r="BE311" s="147">
        <f>IF(N311="základní",J311,0)</f>
        <v>0</v>
      </c>
      <c r="BF311" s="147">
        <f>IF(N311="snížená",J311,0)</f>
        <v>0</v>
      </c>
      <c r="BG311" s="147">
        <f>IF(N311="zákl. přenesená",J311,0)</f>
        <v>0</v>
      </c>
      <c r="BH311" s="147">
        <f>IF(N311="sníž. přenesená",J311,0)</f>
        <v>0</v>
      </c>
      <c r="BI311" s="147">
        <f>IF(N311="nulová",J311,0)</f>
        <v>0</v>
      </c>
      <c r="BJ311" s="18" t="s">
        <v>80</v>
      </c>
      <c r="BK311" s="147">
        <f>ROUND(I311*H311,2)</f>
        <v>0</v>
      </c>
      <c r="BL311" s="18" t="s">
        <v>154</v>
      </c>
      <c r="BM311" s="146" t="s">
        <v>361</v>
      </c>
    </row>
    <row r="312" spans="1:65" s="2" customFormat="1" ht="37.9" customHeight="1">
      <c r="A312" s="30"/>
      <c r="B312" s="135"/>
      <c r="C312" s="136">
        <v>68</v>
      </c>
      <c r="D312" s="136" t="s">
        <v>136</v>
      </c>
      <c r="E312" s="137" t="s">
        <v>362</v>
      </c>
      <c r="F312" s="138" t="s">
        <v>363</v>
      </c>
      <c r="G312" s="139" t="s">
        <v>149</v>
      </c>
      <c r="H312" s="140">
        <f>H302</f>
        <v>204.12250000000003</v>
      </c>
      <c r="I312" s="269"/>
      <c r="J312" s="141">
        <f>ROUND(I312*H312,2)</f>
        <v>0</v>
      </c>
      <c r="K312" s="138" t="s">
        <v>141</v>
      </c>
      <c r="L312" s="31"/>
      <c r="M312" s="142" t="s">
        <v>3</v>
      </c>
      <c r="N312" s="143" t="s">
        <v>43</v>
      </c>
      <c r="O312" s="144">
        <v>0.104</v>
      </c>
      <c r="P312" s="144">
        <f>O312*H312</f>
        <v>21.228740000000002</v>
      </c>
      <c r="Q312" s="144">
        <v>0.00026</v>
      </c>
      <c r="R312" s="144">
        <f>Q312*H312</f>
        <v>0.053071850000000004</v>
      </c>
      <c r="S312" s="144">
        <v>0</v>
      </c>
      <c r="T312" s="145">
        <f>S312*H312</f>
        <v>0</v>
      </c>
      <c r="U312" s="30"/>
      <c r="V312" s="30"/>
      <c r="W312" s="30"/>
      <c r="X312" s="30"/>
      <c r="Y312" s="30"/>
      <c r="Z312" s="30"/>
      <c r="AA312" s="30"/>
      <c r="AB312" s="30"/>
      <c r="AC312" s="30"/>
      <c r="AD312" s="30"/>
      <c r="AE312" s="30"/>
      <c r="AR312" s="146" t="s">
        <v>154</v>
      </c>
      <c r="AT312" s="146" t="s">
        <v>136</v>
      </c>
      <c r="AU312" s="146" t="s">
        <v>82</v>
      </c>
      <c r="AY312" s="18" t="s">
        <v>133</v>
      </c>
      <c r="BE312" s="147">
        <f>IF(N312="základní",J312,0)</f>
        <v>0</v>
      </c>
      <c r="BF312" s="147">
        <f>IF(N312="snížená",J312,0)</f>
        <v>0</v>
      </c>
      <c r="BG312" s="147">
        <f>IF(N312="zákl. přenesená",J312,0)</f>
        <v>0</v>
      </c>
      <c r="BH312" s="147">
        <f>IF(N312="sníž. přenesená",J312,0)</f>
        <v>0</v>
      </c>
      <c r="BI312" s="147">
        <f>IF(N312="nulová",J312,0)</f>
        <v>0</v>
      </c>
      <c r="BJ312" s="18" t="s">
        <v>80</v>
      </c>
      <c r="BK312" s="147">
        <f>ROUND(I312*H312,2)</f>
        <v>0</v>
      </c>
      <c r="BL312" s="18" t="s">
        <v>154</v>
      </c>
      <c r="BM312" s="146" t="s">
        <v>364</v>
      </c>
    </row>
    <row r="313" spans="1:65" s="2" customFormat="1" ht="37.9" customHeight="1">
      <c r="A313" s="30"/>
      <c r="B313" s="135"/>
      <c r="C313" s="136">
        <v>69</v>
      </c>
      <c r="D313" s="136" t="s">
        <v>136</v>
      </c>
      <c r="E313" s="137" t="s">
        <v>365</v>
      </c>
      <c r="F313" s="138" t="s">
        <v>366</v>
      </c>
      <c r="G313" s="139" t="s">
        <v>149</v>
      </c>
      <c r="H313" s="140">
        <f>H297</f>
        <v>11.18</v>
      </c>
      <c r="I313" s="269"/>
      <c r="J313" s="141">
        <f>ROUND(I313*H313,2)</f>
        <v>0</v>
      </c>
      <c r="K313" s="138" t="s">
        <v>141</v>
      </c>
      <c r="L313" s="31"/>
      <c r="M313" s="142" t="s">
        <v>3</v>
      </c>
      <c r="N313" s="143" t="s">
        <v>43</v>
      </c>
      <c r="O313" s="144">
        <v>0.024</v>
      </c>
      <c r="P313" s="144">
        <f>O313*H313</f>
        <v>0.26832</v>
      </c>
      <c r="Q313" s="144">
        <v>1E-05</v>
      </c>
      <c r="R313" s="144">
        <f>Q313*H313</f>
        <v>0.00011180000000000001</v>
      </c>
      <c r="S313" s="144">
        <v>0</v>
      </c>
      <c r="T313" s="145">
        <f>S313*H313</f>
        <v>0</v>
      </c>
      <c r="U313" s="30"/>
      <c r="V313" s="30"/>
      <c r="W313" s="30"/>
      <c r="X313" s="30"/>
      <c r="Y313" s="30"/>
      <c r="Z313" s="30"/>
      <c r="AA313" s="30"/>
      <c r="AB313" s="30"/>
      <c r="AC313" s="30"/>
      <c r="AD313" s="30"/>
      <c r="AE313" s="30"/>
      <c r="AR313" s="146" t="s">
        <v>154</v>
      </c>
      <c r="AT313" s="146" t="s">
        <v>136</v>
      </c>
      <c r="AU313" s="146" t="s">
        <v>82</v>
      </c>
      <c r="AY313" s="18" t="s">
        <v>133</v>
      </c>
      <c r="BE313" s="147">
        <f>IF(N313="základní",J313,0)</f>
        <v>0</v>
      </c>
      <c r="BF313" s="147">
        <f>IF(N313="snížená",J313,0)</f>
        <v>0</v>
      </c>
      <c r="BG313" s="147">
        <f>IF(N313="zákl. přenesená",J313,0)</f>
        <v>0</v>
      </c>
      <c r="BH313" s="147">
        <f>IF(N313="sníž. přenesená",J313,0)</f>
        <v>0</v>
      </c>
      <c r="BI313" s="147">
        <f>IF(N313="nulová",J313,0)</f>
        <v>0</v>
      </c>
      <c r="BJ313" s="18" t="s">
        <v>80</v>
      </c>
      <c r="BK313" s="147">
        <f>ROUND(I313*H313,2)</f>
        <v>0</v>
      </c>
      <c r="BL313" s="18" t="s">
        <v>154</v>
      </c>
      <c r="BM313" s="146" t="s">
        <v>367</v>
      </c>
    </row>
    <row r="314" spans="1:65" s="2" customFormat="1" ht="24.2" customHeight="1">
      <c r="A314" s="30"/>
      <c r="B314" s="135"/>
      <c r="C314" s="136">
        <v>70</v>
      </c>
      <c r="D314" s="136" t="s">
        <v>136</v>
      </c>
      <c r="E314" s="137" t="s">
        <v>368</v>
      </c>
      <c r="F314" s="138" t="s">
        <v>369</v>
      </c>
      <c r="G314" s="139" t="s">
        <v>149</v>
      </c>
      <c r="H314" s="140">
        <f>H298</f>
        <v>5.909399999999999</v>
      </c>
      <c r="I314" s="269"/>
      <c r="J314" s="141">
        <f>ROUND(I314*H314,2)</f>
        <v>0</v>
      </c>
      <c r="K314" s="138" t="s">
        <v>141</v>
      </c>
      <c r="L314" s="31"/>
      <c r="M314" s="142" t="s">
        <v>3</v>
      </c>
      <c r="N314" s="143" t="s">
        <v>43</v>
      </c>
      <c r="O314" s="144">
        <v>0.034</v>
      </c>
      <c r="P314" s="144">
        <f>O314*H314</f>
        <v>0.20091959999999998</v>
      </c>
      <c r="Q314" s="144">
        <v>1E-05</v>
      </c>
      <c r="R314" s="144">
        <f>Q314*H314</f>
        <v>5.9093999999999994E-05</v>
      </c>
      <c r="S314" s="144">
        <v>0</v>
      </c>
      <c r="T314" s="145">
        <f>S314*H314</f>
        <v>0</v>
      </c>
      <c r="U314" s="30"/>
      <c r="V314" s="30"/>
      <c r="W314" s="30"/>
      <c r="X314" s="30"/>
      <c r="Y314" s="30"/>
      <c r="Z314" s="30"/>
      <c r="AA314" s="30"/>
      <c r="AB314" s="30"/>
      <c r="AC314" s="30"/>
      <c r="AD314" s="30"/>
      <c r="AE314" s="30"/>
      <c r="AR314" s="146" t="s">
        <v>154</v>
      </c>
      <c r="AT314" s="146" t="s">
        <v>136</v>
      </c>
      <c r="AU314" s="146" t="s">
        <v>82</v>
      </c>
      <c r="AY314" s="18" t="s">
        <v>133</v>
      </c>
      <c r="BE314" s="147">
        <f>IF(N314="základní",J314,0)</f>
        <v>0</v>
      </c>
      <c r="BF314" s="147">
        <f>IF(N314="snížená",J314,0)</f>
        <v>0</v>
      </c>
      <c r="BG314" s="147">
        <f>IF(N314="zákl. přenesená",J314,0)</f>
        <v>0</v>
      </c>
      <c r="BH314" s="147">
        <f>IF(N314="sníž. přenesená",J314,0)</f>
        <v>0</v>
      </c>
      <c r="BI314" s="147">
        <f>IF(N314="nulová",J314,0)</f>
        <v>0</v>
      </c>
      <c r="BJ314" s="18" t="s">
        <v>80</v>
      </c>
      <c r="BK314" s="147">
        <f>ROUND(I314*H314,2)</f>
        <v>0</v>
      </c>
      <c r="BL314" s="18" t="s">
        <v>154</v>
      </c>
      <c r="BM314" s="146" t="s">
        <v>370</v>
      </c>
    </row>
    <row r="315" spans="1:65" s="2" customFormat="1" ht="24.2" customHeight="1">
      <c r="A315" s="30"/>
      <c r="B315" s="135"/>
      <c r="C315" s="136">
        <v>71</v>
      </c>
      <c r="D315" s="136" t="s">
        <v>136</v>
      </c>
      <c r="E315" s="137" t="s">
        <v>371</v>
      </c>
      <c r="F315" s="138" t="s">
        <v>372</v>
      </c>
      <c r="G315" s="139" t="s">
        <v>149</v>
      </c>
      <c r="H315" s="140">
        <f>H289</f>
        <v>52.17</v>
      </c>
      <c r="I315" s="269"/>
      <c r="J315" s="141">
        <f>ROUND(I315*H315,2)</f>
        <v>0</v>
      </c>
      <c r="K315" s="138" t="s">
        <v>141</v>
      </c>
      <c r="L315" s="31"/>
      <c r="M315" s="142" t="s">
        <v>3</v>
      </c>
      <c r="N315" s="143" t="s">
        <v>43</v>
      </c>
      <c r="O315" s="144">
        <v>0.005</v>
      </c>
      <c r="P315" s="144">
        <f>O315*H315</f>
        <v>0.26085</v>
      </c>
      <c r="Q315" s="144">
        <v>1E-05</v>
      </c>
      <c r="R315" s="144">
        <f>Q315*H315</f>
        <v>0.0005217</v>
      </c>
      <c r="S315" s="144">
        <v>0</v>
      </c>
      <c r="T315" s="145">
        <f>S315*H315</f>
        <v>0</v>
      </c>
      <c r="U315" s="30"/>
      <c r="V315" s="30"/>
      <c r="W315" s="30"/>
      <c r="X315" s="30"/>
      <c r="Y315" s="30"/>
      <c r="Z315" s="30"/>
      <c r="AA315" s="30"/>
      <c r="AB315" s="30"/>
      <c r="AC315" s="30"/>
      <c r="AD315" s="30"/>
      <c r="AE315" s="30"/>
      <c r="AR315" s="146" t="s">
        <v>154</v>
      </c>
      <c r="AT315" s="146" t="s">
        <v>136</v>
      </c>
      <c r="AU315" s="146" t="s">
        <v>82</v>
      </c>
      <c r="AY315" s="18" t="s">
        <v>133</v>
      </c>
      <c r="BE315" s="147">
        <f>IF(N315="základní",J315,0)</f>
        <v>0</v>
      </c>
      <c r="BF315" s="147">
        <f>IF(N315="snížená",J315,0)</f>
        <v>0</v>
      </c>
      <c r="BG315" s="147">
        <f>IF(N315="zákl. přenesená",J315,0)</f>
        <v>0</v>
      </c>
      <c r="BH315" s="147">
        <f>IF(N315="sníž. přenesená",J315,0)</f>
        <v>0</v>
      </c>
      <c r="BI315" s="147">
        <f>IF(N315="nulová",J315,0)</f>
        <v>0</v>
      </c>
      <c r="BJ315" s="18" t="s">
        <v>80</v>
      </c>
      <c r="BK315" s="147">
        <f>ROUND(I315*H315,2)</f>
        <v>0</v>
      </c>
      <c r="BL315" s="18" t="s">
        <v>154</v>
      </c>
      <c r="BM315" s="146" t="s">
        <v>373</v>
      </c>
    </row>
    <row r="316" spans="2:51" s="13" customFormat="1" ht="12">
      <c r="B316" s="148"/>
      <c r="D316" s="149" t="s">
        <v>139</v>
      </c>
      <c r="E316" s="150" t="s">
        <v>3</v>
      </c>
      <c r="F316" s="151" t="s">
        <v>152</v>
      </c>
      <c r="H316" s="150" t="s">
        <v>3</v>
      </c>
      <c r="I316" s="273"/>
      <c r="L316" s="148"/>
      <c r="M316" s="152"/>
      <c r="N316" s="153"/>
      <c r="O316" s="153"/>
      <c r="P316" s="153"/>
      <c r="Q316" s="153"/>
      <c r="R316" s="153"/>
      <c r="S316" s="153"/>
      <c r="T316" s="154"/>
      <c r="AT316" s="150" t="s">
        <v>139</v>
      </c>
      <c r="AU316" s="150" t="s">
        <v>82</v>
      </c>
      <c r="AV316" s="13" t="s">
        <v>80</v>
      </c>
      <c r="AW316" s="13" t="s">
        <v>34</v>
      </c>
      <c r="AX316" s="13" t="s">
        <v>72</v>
      </c>
      <c r="AY316" s="150" t="s">
        <v>133</v>
      </c>
    </row>
    <row r="317" spans="1:31" s="2" customFormat="1" ht="6.95" customHeight="1">
      <c r="A317" s="30"/>
      <c r="B317" s="40"/>
      <c r="C317" s="41"/>
      <c r="D317" s="41"/>
      <c r="E317" s="41"/>
      <c r="F317" s="41"/>
      <c r="G317" s="41"/>
      <c r="H317" s="41"/>
      <c r="I317" s="41"/>
      <c r="J317" s="41"/>
      <c r="K317" s="41"/>
      <c r="L317" s="31"/>
      <c r="M317" s="30"/>
      <c r="O317" s="30"/>
      <c r="P317" s="30"/>
      <c r="Q317" s="30"/>
      <c r="R317" s="30"/>
      <c r="S317" s="30"/>
      <c r="T317" s="30"/>
      <c r="U317" s="30"/>
      <c r="V317" s="30"/>
      <c r="W317" s="30"/>
      <c r="X317" s="30"/>
      <c r="Y317" s="30"/>
      <c r="Z317" s="30"/>
      <c r="AA317" s="30"/>
      <c r="AB317" s="30"/>
      <c r="AC317" s="30"/>
      <c r="AD317" s="30"/>
      <c r="AE317" s="30"/>
    </row>
  </sheetData>
  <autoFilter ref="C90:K316"/>
  <mergeCells count="9">
    <mergeCell ref="E50:H50"/>
    <mergeCell ref="E81:H81"/>
    <mergeCell ref="E83:H83"/>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6" manualBreakCount="6">
    <brk id="150" min="2" max="16383" man="1"/>
    <brk id="166" min="2" max="16383" man="1"/>
    <brk id="185" min="2" max="16383" man="1"/>
    <brk id="209" min="2" max="16383" man="1"/>
    <brk id="250" min="2" max="16383" man="1"/>
    <brk id="278"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78"/>
  <sheetViews>
    <sheetView showGridLines="0" view="pageBreakPreview" zoomScaleSheetLayoutView="100" workbookViewId="0" topLeftCell="A174">
      <selection activeCell="I177" sqref="I91:I17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17" t="s">
        <v>6</v>
      </c>
      <c r="M2" s="318"/>
      <c r="N2" s="318"/>
      <c r="O2" s="318"/>
      <c r="P2" s="318"/>
      <c r="Q2" s="318"/>
      <c r="R2" s="318"/>
      <c r="S2" s="318"/>
      <c r="T2" s="318"/>
      <c r="U2" s="318"/>
      <c r="V2" s="318"/>
      <c r="AT2" s="18" t="s">
        <v>85</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87" t="s">
        <v>11</v>
      </c>
      <c r="AT4" s="18" t="s">
        <v>4</v>
      </c>
    </row>
    <row r="5" spans="2:12" s="1" customFormat="1" ht="6.95" customHeight="1">
      <c r="B5" s="21"/>
      <c r="L5" s="21"/>
    </row>
    <row r="6" spans="2:12" s="1" customFormat="1" ht="12" customHeight="1">
      <c r="B6" s="21"/>
      <c r="D6" s="27" t="s">
        <v>14</v>
      </c>
      <c r="L6" s="21"/>
    </row>
    <row r="7" spans="2:12" s="1" customFormat="1" ht="28.5" customHeight="1">
      <c r="B7" s="21"/>
      <c r="E7" s="352" t="str">
        <f>'Rekapitulace stavby'!K6</f>
        <v>Modernizace prostor ambulancí chirurgického oddělení v suterénu budovy A - Nemocnice Nymburk, s.r.o.</v>
      </c>
      <c r="F7" s="353"/>
      <c r="G7" s="353"/>
      <c r="H7" s="353"/>
      <c r="L7" s="21"/>
    </row>
    <row r="8" spans="1:31" s="2" customFormat="1" ht="12" customHeight="1">
      <c r="A8" s="30"/>
      <c r="B8" s="31"/>
      <c r="C8" s="30"/>
      <c r="D8" s="27" t="s">
        <v>99</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42" t="s">
        <v>374</v>
      </c>
      <c r="F9" s="351"/>
      <c r="G9" s="351"/>
      <c r="H9" s="351"/>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16</v>
      </c>
      <c r="G11" s="30"/>
      <c r="H11" s="30"/>
      <c r="I11" s="27" t="s">
        <v>17</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19</v>
      </c>
      <c r="E12" s="30"/>
      <c r="F12" s="25" t="s">
        <v>20</v>
      </c>
      <c r="G12" s="30"/>
      <c r="H12" s="30"/>
      <c r="I12" s="27" t="s">
        <v>21</v>
      </c>
      <c r="J12" s="48">
        <f>'Rekapitulace stavby'!AN8</f>
        <v>44152</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24</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25</v>
      </c>
      <c r="F15" s="30"/>
      <c r="G15" s="30"/>
      <c r="H15" s="30"/>
      <c r="I15" s="27" t="s">
        <v>26</v>
      </c>
      <c r="J15" s="25" t="s">
        <v>27</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28</v>
      </c>
      <c r="E17" s="30"/>
      <c r="F17" s="30"/>
      <c r="G17" s="30"/>
      <c r="H17" s="30"/>
      <c r="I17" s="27" t="s">
        <v>23</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26" t="str">
        <f>'Rekapitulace stavby'!E14</f>
        <v xml:space="preserve"> </v>
      </c>
      <c r="F18" s="326"/>
      <c r="G18" s="326"/>
      <c r="H18" s="326"/>
      <c r="I18" s="27" t="s">
        <v>26</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30</v>
      </c>
      <c r="E20" s="30"/>
      <c r="F20" s="30"/>
      <c r="G20" s="30"/>
      <c r="H20" s="30"/>
      <c r="I20" s="27" t="s">
        <v>23</v>
      </c>
      <c r="J20" s="25" t="s">
        <v>31</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32</v>
      </c>
      <c r="F21" s="30"/>
      <c r="G21" s="30"/>
      <c r="H21" s="30"/>
      <c r="I21" s="27" t="s">
        <v>26</v>
      </c>
      <c r="J21" s="25" t="s">
        <v>33</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35</v>
      </c>
      <c r="E23" s="30"/>
      <c r="F23" s="30"/>
      <c r="G23" s="30"/>
      <c r="H23" s="30"/>
      <c r="I23" s="27" t="s">
        <v>23</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26</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28" t="s">
        <v>37</v>
      </c>
      <c r="F27" s="328"/>
      <c r="G27" s="328"/>
      <c r="H27" s="328"/>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38</v>
      </c>
      <c r="E30" s="30"/>
      <c r="F30" s="30"/>
      <c r="G30" s="30"/>
      <c r="H30" s="30"/>
      <c r="I30" s="30"/>
      <c r="J30" s="64">
        <f>ROUND(J88,2)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t="s">
        <v>39</v>
      </c>
      <c r="J32" s="34" t="s">
        <v>41</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42</v>
      </c>
      <c r="E33" s="27" t="s">
        <v>43</v>
      </c>
      <c r="F33" s="94">
        <f>ROUND((SUM(BE88:BE178)),2)</f>
        <v>0</v>
      </c>
      <c r="G33" s="30"/>
      <c r="H33" s="30"/>
      <c r="I33" s="95">
        <v>0.21</v>
      </c>
      <c r="J33" s="94">
        <f>ROUND(((SUM(BE88:BE178))*I33),2)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44</v>
      </c>
      <c r="F34" s="94">
        <f>ROUND((SUM(BF88:BF178)),2)</f>
        <v>0</v>
      </c>
      <c r="G34" s="30"/>
      <c r="H34" s="30"/>
      <c r="I34" s="95">
        <v>0.15</v>
      </c>
      <c r="J34" s="94">
        <f>ROUND(((SUM(BF88:BF178))*I34),2)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45</v>
      </c>
      <c r="F35" s="94">
        <f>ROUND((SUM(BG88:BG178)),2)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46</v>
      </c>
      <c r="F36" s="94">
        <f>ROUND((SUM(BH88:BH178)),2)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47</v>
      </c>
      <c r="F37" s="94">
        <f>ROUND((SUM(BI88:BI178)),2)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48</v>
      </c>
      <c r="E39" s="53"/>
      <c r="F39" s="53"/>
      <c r="G39" s="98" t="s">
        <v>49</v>
      </c>
      <c r="H39" s="99" t="s">
        <v>50</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101</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14</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9.25" customHeight="1">
      <c r="A48" s="30"/>
      <c r="B48" s="31"/>
      <c r="C48" s="30"/>
      <c r="D48" s="30"/>
      <c r="E48" s="352" t="str">
        <f>E7</f>
        <v>Modernizace prostor ambulancí chirurgického oddělení v suterénu budovy A - Nemocnice Nymburk, s.r.o.</v>
      </c>
      <c r="F48" s="353"/>
      <c r="G48" s="353"/>
      <c r="H48" s="353"/>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99</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42" t="str">
        <f>E9</f>
        <v>02 - Zdravotechnika</v>
      </c>
      <c r="F50" s="351"/>
      <c r="G50" s="351"/>
      <c r="H50" s="351"/>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19</v>
      </c>
      <c r="D52" s="30"/>
      <c r="E52" s="30"/>
      <c r="F52" s="25" t="str">
        <f>F12</f>
        <v>Nymburk</v>
      </c>
      <c r="G52" s="30"/>
      <c r="H52" s="30"/>
      <c r="I52" s="27" t="s">
        <v>21</v>
      </c>
      <c r="J52" s="48">
        <f>IF(J12="","",J12)</f>
        <v>44152</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22</v>
      </c>
      <c r="D54" s="30"/>
      <c r="E54" s="30"/>
      <c r="F54" s="25" t="str">
        <f>E15</f>
        <v>Nemocnice Nymburk s.r.o.</v>
      </c>
      <c r="G54" s="30"/>
      <c r="H54" s="30"/>
      <c r="I54" s="27" t="s">
        <v>30</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28</v>
      </c>
      <c r="D55" s="30"/>
      <c r="E55" s="30"/>
      <c r="F55" s="25" t="str">
        <f>IF(E18="","",E18)</f>
        <v xml:space="preserve"> </v>
      </c>
      <c r="G55" s="30"/>
      <c r="H55" s="30"/>
      <c r="I55" s="27" t="s">
        <v>35</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102</v>
      </c>
      <c r="D57" s="96"/>
      <c r="E57" s="96"/>
      <c r="F57" s="96"/>
      <c r="G57" s="96"/>
      <c r="H57" s="96"/>
      <c r="I57" s="96"/>
      <c r="J57" s="103" t="s">
        <v>103</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70</v>
      </c>
      <c r="D59" s="30"/>
      <c r="E59" s="30"/>
      <c r="F59" s="30"/>
      <c r="G59" s="30"/>
      <c r="H59" s="30"/>
      <c r="I59" s="30"/>
      <c r="J59" s="64">
        <f>J88</f>
        <v>0</v>
      </c>
      <c r="K59" s="30"/>
      <c r="L59" s="88"/>
      <c r="S59" s="30"/>
      <c r="T59" s="30"/>
      <c r="U59" s="30"/>
      <c r="V59" s="30"/>
      <c r="W59" s="30"/>
      <c r="X59" s="30"/>
      <c r="Y59" s="30"/>
      <c r="Z59" s="30"/>
      <c r="AA59" s="30"/>
      <c r="AB59" s="30"/>
      <c r="AC59" s="30"/>
      <c r="AD59" s="30"/>
      <c r="AE59" s="30"/>
      <c r="AU59" s="18" t="s">
        <v>104</v>
      </c>
    </row>
    <row r="60" spans="2:12" s="9" customFormat="1" ht="24.95" customHeight="1">
      <c r="B60" s="105"/>
      <c r="D60" s="106" t="s">
        <v>105</v>
      </c>
      <c r="E60" s="107"/>
      <c r="F60" s="107"/>
      <c r="G60" s="107"/>
      <c r="H60" s="107"/>
      <c r="I60" s="107"/>
      <c r="J60" s="108">
        <f>J89</f>
        <v>0</v>
      </c>
      <c r="L60" s="105"/>
    </row>
    <row r="61" spans="2:12" s="10" customFormat="1" ht="19.9" customHeight="1">
      <c r="B61" s="109"/>
      <c r="D61" s="110" t="s">
        <v>107</v>
      </c>
      <c r="E61" s="111"/>
      <c r="F61" s="111"/>
      <c r="G61" s="111"/>
      <c r="H61" s="111"/>
      <c r="I61" s="111"/>
      <c r="J61" s="112">
        <f>J90</f>
        <v>0</v>
      </c>
      <c r="L61" s="109"/>
    </row>
    <row r="62" spans="2:12" s="10" customFormat="1" ht="19.9" customHeight="1">
      <c r="B62" s="109"/>
      <c r="D62" s="110" t="s">
        <v>108</v>
      </c>
      <c r="E62" s="111"/>
      <c r="F62" s="111"/>
      <c r="G62" s="111"/>
      <c r="H62" s="111"/>
      <c r="I62" s="111"/>
      <c r="J62" s="112">
        <f>J96</f>
        <v>0</v>
      </c>
      <c r="L62" s="109"/>
    </row>
    <row r="63" spans="2:12" s="10" customFormat="1" ht="19.9" customHeight="1">
      <c r="B63" s="109"/>
      <c r="D63" s="110" t="s">
        <v>109</v>
      </c>
      <c r="E63" s="111"/>
      <c r="F63" s="111"/>
      <c r="G63" s="111"/>
      <c r="H63" s="111"/>
      <c r="I63" s="111"/>
      <c r="J63" s="112">
        <f>J103</f>
        <v>0</v>
      </c>
      <c r="L63" s="109"/>
    </row>
    <row r="64" spans="2:12" s="10" customFormat="1" ht="19.9" customHeight="1">
      <c r="B64" s="109"/>
      <c r="D64" s="110" t="s">
        <v>110</v>
      </c>
      <c r="E64" s="111"/>
      <c r="F64" s="111"/>
      <c r="G64" s="111"/>
      <c r="H64" s="111"/>
      <c r="I64" s="111"/>
      <c r="J64" s="112">
        <f>J117</f>
        <v>0</v>
      </c>
      <c r="L64" s="109"/>
    </row>
    <row r="65" spans="2:12" s="9" customFormat="1" ht="24.95" customHeight="1">
      <c r="B65" s="105"/>
      <c r="D65" s="106" t="s">
        <v>111</v>
      </c>
      <c r="E65" s="107"/>
      <c r="F65" s="107"/>
      <c r="G65" s="107"/>
      <c r="H65" s="107"/>
      <c r="I65" s="107"/>
      <c r="J65" s="108">
        <f>J120</f>
        <v>0</v>
      </c>
      <c r="L65" s="105"/>
    </row>
    <row r="66" spans="2:12" s="10" customFormat="1" ht="19.9" customHeight="1">
      <c r="B66" s="109"/>
      <c r="D66" s="110" t="s">
        <v>375</v>
      </c>
      <c r="E66" s="111"/>
      <c r="F66" s="111"/>
      <c r="G66" s="111"/>
      <c r="H66" s="111"/>
      <c r="I66" s="111"/>
      <c r="J66" s="112">
        <f>J121</f>
        <v>0</v>
      </c>
      <c r="L66" s="109"/>
    </row>
    <row r="67" spans="2:12" s="10" customFormat="1" ht="19.9" customHeight="1">
      <c r="B67" s="109"/>
      <c r="D67" s="110" t="s">
        <v>376</v>
      </c>
      <c r="E67" s="111"/>
      <c r="F67" s="111"/>
      <c r="G67" s="111"/>
      <c r="H67" s="111"/>
      <c r="I67" s="111"/>
      <c r="J67" s="112">
        <f>J133</f>
        <v>0</v>
      </c>
      <c r="L67" s="109"/>
    </row>
    <row r="68" spans="2:12" s="10" customFormat="1" ht="19.9" customHeight="1">
      <c r="B68" s="109"/>
      <c r="D68" s="110" t="s">
        <v>377</v>
      </c>
      <c r="E68" s="111"/>
      <c r="F68" s="111"/>
      <c r="G68" s="111"/>
      <c r="H68" s="111"/>
      <c r="I68" s="111"/>
      <c r="J68" s="112">
        <f>J150</f>
        <v>0</v>
      </c>
      <c r="L68" s="109"/>
    </row>
    <row r="69" spans="2:12" s="9" customFormat="1" ht="24.95" customHeight="1">
      <c r="B69" s="105"/>
      <c r="D69" s="106" t="s">
        <v>378</v>
      </c>
      <c r="E69" s="107"/>
      <c r="F69" s="107"/>
      <c r="G69" s="107"/>
      <c r="H69" s="107"/>
      <c r="I69" s="107"/>
      <c r="J69" s="108">
        <f>J176</f>
        <v>0</v>
      </c>
      <c r="L69" s="105"/>
    </row>
    <row r="70" spans="1:31" s="2" customFormat="1" ht="6.95" customHeight="1">
      <c r="A70" s="30"/>
      <c r="B70" s="40"/>
      <c r="C70" s="41"/>
      <c r="D70" s="41"/>
      <c r="E70" s="41"/>
      <c r="F70" s="41"/>
      <c r="G70" s="41"/>
      <c r="H70" s="41"/>
      <c r="I70" s="41"/>
      <c r="J70" s="41"/>
      <c r="K70" s="41"/>
      <c r="L70" s="88"/>
      <c r="S70" s="30"/>
      <c r="T70" s="30"/>
      <c r="U70" s="30"/>
      <c r="V70" s="30"/>
      <c r="W70" s="30"/>
      <c r="X70" s="30"/>
      <c r="Y70" s="30"/>
      <c r="Z70" s="30"/>
      <c r="AA70" s="30"/>
      <c r="AB70" s="30"/>
      <c r="AC70" s="30"/>
      <c r="AD70" s="30"/>
      <c r="AE70" s="30"/>
    </row>
    <row r="74" spans="1:31" s="2" customFormat="1" ht="6.95" customHeight="1">
      <c r="A74" s="30"/>
      <c r="B74" s="42"/>
      <c r="C74" s="43"/>
      <c r="D74" s="43"/>
      <c r="E74" s="43"/>
      <c r="F74" s="43"/>
      <c r="G74" s="43"/>
      <c r="H74" s="43"/>
      <c r="I74" s="43"/>
      <c r="J74" s="43"/>
      <c r="K74" s="43"/>
      <c r="L74" s="88"/>
      <c r="S74" s="30"/>
      <c r="T74" s="30"/>
      <c r="U74" s="30"/>
      <c r="V74" s="30"/>
      <c r="W74" s="30"/>
      <c r="X74" s="30"/>
      <c r="Y74" s="30"/>
      <c r="Z74" s="30"/>
      <c r="AA74" s="30"/>
      <c r="AB74" s="30"/>
      <c r="AC74" s="30"/>
      <c r="AD74" s="30"/>
      <c r="AE74" s="30"/>
    </row>
    <row r="75" spans="1:31" s="2" customFormat="1" ht="24.95" customHeight="1">
      <c r="A75" s="30"/>
      <c r="B75" s="31"/>
      <c r="C75" s="22" t="s">
        <v>118</v>
      </c>
      <c r="D75" s="30"/>
      <c r="E75" s="30"/>
      <c r="F75" s="30"/>
      <c r="G75" s="30"/>
      <c r="H75" s="30"/>
      <c r="I75" s="30"/>
      <c r="J75" s="30"/>
      <c r="K75" s="30"/>
      <c r="L75" s="88"/>
      <c r="S75" s="30"/>
      <c r="T75" s="30"/>
      <c r="U75" s="30"/>
      <c r="V75" s="30"/>
      <c r="W75" s="30"/>
      <c r="X75" s="30"/>
      <c r="Y75" s="30"/>
      <c r="Z75" s="30"/>
      <c r="AA75" s="30"/>
      <c r="AB75" s="30"/>
      <c r="AC75" s="30"/>
      <c r="AD75" s="30"/>
      <c r="AE75" s="30"/>
    </row>
    <row r="76" spans="1:31" s="2" customFormat="1" ht="6.95" customHeight="1">
      <c r="A76" s="30"/>
      <c r="B76" s="31"/>
      <c r="C76" s="30"/>
      <c r="D76" s="30"/>
      <c r="E76" s="30"/>
      <c r="F76" s="30"/>
      <c r="G76" s="30"/>
      <c r="H76" s="30"/>
      <c r="I76" s="30"/>
      <c r="J76" s="30"/>
      <c r="K76" s="30"/>
      <c r="L76" s="88"/>
      <c r="S76" s="30"/>
      <c r="T76" s="30"/>
      <c r="U76" s="30"/>
      <c r="V76" s="30"/>
      <c r="W76" s="30"/>
      <c r="X76" s="30"/>
      <c r="Y76" s="30"/>
      <c r="Z76" s="30"/>
      <c r="AA76" s="30"/>
      <c r="AB76" s="30"/>
      <c r="AC76" s="30"/>
      <c r="AD76" s="30"/>
      <c r="AE76" s="30"/>
    </row>
    <row r="77" spans="1:31" s="2" customFormat="1" ht="12" customHeight="1">
      <c r="A77" s="30"/>
      <c r="B77" s="31"/>
      <c r="C77" s="27" t="s">
        <v>14</v>
      </c>
      <c r="D77" s="30"/>
      <c r="E77" s="30"/>
      <c r="F77" s="30"/>
      <c r="G77" s="30"/>
      <c r="H77" s="30"/>
      <c r="I77" s="30"/>
      <c r="J77" s="30"/>
      <c r="K77" s="30"/>
      <c r="L77" s="88"/>
      <c r="S77" s="30"/>
      <c r="T77" s="30"/>
      <c r="U77" s="30"/>
      <c r="V77" s="30"/>
      <c r="W77" s="30"/>
      <c r="X77" s="30"/>
      <c r="Y77" s="30"/>
      <c r="Z77" s="30"/>
      <c r="AA77" s="30"/>
      <c r="AB77" s="30"/>
      <c r="AC77" s="30"/>
      <c r="AD77" s="30"/>
      <c r="AE77" s="30"/>
    </row>
    <row r="78" spans="1:31" s="2" customFormat="1" ht="27.75" customHeight="1">
      <c r="A78" s="30"/>
      <c r="B78" s="31"/>
      <c r="C78" s="30"/>
      <c r="D78" s="30"/>
      <c r="E78" s="352" t="str">
        <f>E7</f>
        <v>Modernizace prostor ambulancí chirurgického oddělení v suterénu budovy A - Nemocnice Nymburk, s.r.o.</v>
      </c>
      <c r="F78" s="353"/>
      <c r="G78" s="353"/>
      <c r="H78" s="353"/>
      <c r="I78" s="30"/>
      <c r="J78" s="30"/>
      <c r="K78" s="30"/>
      <c r="L78" s="88"/>
      <c r="S78" s="30"/>
      <c r="T78" s="30"/>
      <c r="U78" s="30"/>
      <c r="V78" s="30"/>
      <c r="W78" s="30"/>
      <c r="X78" s="30"/>
      <c r="Y78" s="30"/>
      <c r="Z78" s="30"/>
      <c r="AA78" s="30"/>
      <c r="AB78" s="30"/>
      <c r="AC78" s="30"/>
      <c r="AD78" s="30"/>
      <c r="AE78" s="30"/>
    </row>
    <row r="79" spans="1:31" s="2" customFormat="1" ht="12" customHeight="1">
      <c r="A79" s="30"/>
      <c r="B79" s="31"/>
      <c r="C79" s="27" t="s">
        <v>99</v>
      </c>
      <c r="D79" s="30"/>
      <c r="E79" s="30"/>
      <c r="F79" s="30"/>
      <c r="G79" s="30"/>
      <c r="H79" s="30"/>
      <c r="I79" s="30"/>
      <c r="J79" s="30"/>
      <c r="K79" s="30"/>
      <c r="L79" s="88"/>
      <c r="S79" s="30"/>
      <c r="T79" s="30"/>
      <c r="U79" s="30"/>
      <c r="V79" s="30"/>
      <c r="W79" s="30"/>
      <c r="X79" s="30"/>
      <c r="Y79" s="30"/>
      <c r="Z79" s="30"/>
      <c r="AA79" s="30"/>
      <c r="AB79" s="30"/>
      <c r="AC79" s="30"/>
      <c r="AD79" s="30"/>
      <c r="AE79" s="30"/>
    </row>
    <row r="80" spans="1:31" s="2" customFormat="1" ht="16.5" customHeight="1">
      <c r="A80" s="30"/>
      <c r="B80" s="31"/>
      <c r="C80" s="30"/>
      <c r="D80" s="30"/>
      <c r="E80" s="342" t="str">
        <f>E9</f>
        <v>02 - Zdravotechnika</v>
      </c>
      <c r="F80" s="351"/>
      <c r="G80" s="351"/>
      <c r="H80" s="351"/>
      <c r="I80" s="30"/>
      <c r="J80" s="30"/>
      <c r="K80" s="30"/>
      <c r="L80" s="88"/>
      <c r="S80" s="30"/>
      <c r="T80" s="30"/>
      <c r="U80" s="30"/>
      <c r="V80" s="30"/>
      <c r="W80" s="30"/>
      <c r="X80" s="30"/>
      <c r="Y80" s="30"/>
      <c r="Z80" s="30"/>
      <c r="AA80" s="30"/>
      <c r="AB80" s="30"/>
      <c r="AC80" s="30"/>
      <c r="AD80" s="30"/>
      <c r="AE80" s="30"/>
    </row>
    <row r="81" spans="1:31" s="2" customFormat="1" ht="6.95" customHeight="1">
      <c r="A81" s="30"/>
      <c r="B81" s="31"/>
      <c r="C81" s="30"/>
      <c r="D81" s="30"/>
      <c r="E81" s="30"/>
      <c r="F81" s="30"/>
      <c r="G81" s="30"/>
      <c r="H81" s="30"/>
      <c r="I81" s="30"/>
      <c r="J81" s="30"/>
      <c r="K81" s="30"/>
      <c r="L81" s="88"/>
      <c r="S81" s="30"/>
      <c r="T81" s="30"/>
      <c r="U81" s="30"/>
      <c r="V81" s="30"/>
      <c r="W81" s="30"/>
      <c r="X81" s="30"/>
      <c r="Y81" s="30"/>
      <c r="Z81" s="30"/>
      <c r="AA81" s="30"/>
      <c r="AB81" s="30"/>
      <c r="AC81" s="30"/>
      <c r="AD81" s="30"/>
      <c r="AE81" s="30"/>
    </row>
    <row r="82" spans="1:31" s="2" customFormat="1" ht="12" customHeight="1">
      <c r="A82" s="30"/>
      <c r="B82" s="31"/>
      <c r="C82" s="27" t="s">
        <v>19</v>
      </c>
      <c r="D82" s="30"/>
      <c r="E82" s="30"/>
      <c r="F82" s="25" t="str">
        <f>F12</f>
        <v>Nymburk</v>
      </c>
      <c r="G82" s="30"/>
      <c r="H82" s="30"/>
      <c r="I82" s="27" t="s">
        <v>21</v>
      </c>
      <c r="J82" s="48">
        <f>IF(J12="","",J12)</f>
        <v>44152</v>
      </c>
      <c r="K82" s="30"/>
      <c r="L82" s="88"/>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88"/>
      <c r="S83" s="30"/>
      <c r="T83" s="30"/>
      <c r="U83" s="30"/>
      <c r="V83" s="30"/>
      <c r="W83" s="30"/>
      <c r="X83" s="30"/>
      <c r="Y83" s="30"/>
      <c r="Z83" s="30"/>
      <c r="AA83" s="30"/>
      <c r="AB83" s="30"/>
      <c r="AC83" s="30"/>
      <c r="AD83" s="30"/>
      <c r="AE83" s="30"/>
    </row>
    <row r="84" spans="1:31" s="2" customFormat="1" ht="25.7" customHeight="1">
      <c r="A84" s="30"/>
      <c r="B84" s="31"/>
      <c r="C84" s="27" t="s">
        <v>22</v>
      </c>
      <c r="D84" s="30"/>
      <c r="E84" s="30"/>
      <c r="F84" s="25" t="str">
        <f>E15</f>
        <v>Nemocnice Nymburk s.r.o.</v>
      </c>
      <c r="G84" s="30"/>
      <c r="H84" s="30"/>
      <c r="I84" s="27" t="s">
        <v>30</v>
      </c>
      <c r="J84" s="28" t="str">
        <f>E21</f>
        <v>Ing. arch. Pavel Petrák</v>
      </c>
      <c r="K84" s="30"/>
      <c r="L84" s="88"/>
      <c r="S84" s="30"/>
      <c r="T84" s="30"/>
      <c r="U84" s="30"/>
      <c r="V84" s="30"/>
      <c r="W84" s="30"/>
      <c r="X84" s="30"/>
      <c r="Y84" s="30"/>
      <c r="Z84" s="30"/>
      <c r="AA84" s="30"/>
      <c r="AB84" s="30"/>
      <c r="AC84" s="30"/>
      <c r="AD84" s="30"/>
      <c r="AE84" s="30"/>
    </row>
    <row r="85" spans="1:31" s="2" customFormat="1" ht="15.2" customHeight="1">
      <c r="A85" s="30"/>
      <c r="B85" s="31"/>
      <c r="C85" s="27" t="s">
        <v>28</v>
      </c>
      <c r="D85" s="30"/>
      <c r="E85" s="30"/>
      <c r="F85" s="25" t="str">
        <f>IF(E18="","",E18)</f>
        <v xml:space="preserve"> </v>
      </c>
      <c r="G85" s="30"/>
      <c r="H85" s="30"/>
      <c r="I85" s="27" t="s">
        <v>35</v>
      </c>
      <c r="J85" s="28" t="str">
        <f>E24</f>
        <v xml:space="preserve"> </v>
      </c>
      <c r="K85" s="30"/>
      <c r="L85" s="88"/>
      <c r="S85" s="30"/>
      <c r="T85" s="30"/>
      <c r="U85" s="30"/>
      <c r="V85" s="30"/>
      <c r="W85" s="30"/>
      <c r="X85" s="30"/>
      <c r="Y85" s="30"/>
      <c r="Z85" s="30"/>
      <c r="AA85" s="30"/>
      <c r="AB85" s="30"/>
      <c r="AC85" s="30"/>
      <c r="AD85" s="30"/>
      <c r="AE85" s="30"/>
    </row>
    <row r="86" spans="1:31" s="2" customFormat="1" ht="10.35" customHeight="1">
      <c r="A86" s="30"/>
      <c r="B86" s="31"/>
      <c r="C86" s="30"/>
      <c r="D86" s="30"/>
      <c r="E86" s="30"/>
      <c r="F86" s="30"/>
      <c r="G86" s="30"/>
      <c r="H86" s="30"/>
      <c r="I86" s="30"/>
      <c r="J86" s="30"/>
      <c r="K86" s="30"/>
      <c r="L86" s="88"/>
      <c r="S86" s="30"/>
      <c r="T86" s="30"/>
      <c r="U86" s="30"/>
      <c r="V86" s="30"/>
      <c r="W86" s="30"/>
      <c r="X86" s="30"/>
      <c r="Y86" s="30"/>
      <c r="Z86" s="30"/>
      <c r="AA86" s="30"/>
      <c r="AB86" s="30"/>
      <c r="AC86" s="30"/>
      <c r="AD86" s="30"/>
      <c r="AE86" s="30"/>
    </row>
    <row r="87" spans="1:31" s="11" customFormat="1" ht="29.25" customHeight="1">
      <c r="A87" s="113"/>
      <c r="B87" s="114"/>
      <c r="C87" s="115" t="s">
        <v>119</v>
      </c>
      <c r="D87" s="116" t="s">
        <v>57</v>
      </c>
      <c r="E87" s="116" t="s">
        <v>53</v>
      </c>
      <c r="F87" s="116" t="s">
        <v>54</v>
      </c>
      <c r="G87" s="116" t="s">
        <v>120</v>
      </c>
      <c r="H87" s="116" t="s">
        <v>121</v>
      </c>
      <c r="I87" s="116" t="s">
        <v>122</v>
      </c>
      <c r="J87" s="116" t="s">
        <v>103</v>
      </c>
      <c r="K87" s="117" t="s">
        <v>123</v>
      </c>
      <c r="L87" s="118"/>
      <c r="M87" s="55" t="s">
        <v>3</v>
      </c>
      <c r="N87" s="56" t="s">
        <v>42</v>
      </c>
      <c r="O87" s="56" t="s">
        <v>124</v>
      </c>
      <c r="P87" s="56" t="s">
        <v>125</v>
      </c>
      <c r="Q87" s="56" t="s">
        <v>126</v>
      </c>
      <c r="R87" s="56" t="s">
        <v>127</v>
      </c>
      <c r="S87" s="56" t="s">
        <v>128</v>
      </c>
      <c r="T87" s="57" t="s">
        <v>129</v>
      </c>
      <c r="U87" s="113"/>
      <c r="V87" s="113"/>
      <c r="W87" s="113"/>
      <c r="X87" s="113"/>
      <c r="Y87" s="113"/>
      <c r="Z87" s="113"/>
      <c r="AA87" s="113"/>
      <c r="AB87" s="113"/>
      <c r="AC87" s="113"/>
      <c r="AD87" s="113"/>
      <c r="AE87" s="113"/>
    </row>
    <row r="88" spans="1:63" s="2" customFormat="1" ht="22.9" customHeight="1">
      <c r="A88" s="30"/>
      <c r="B88" s="31"/>
      <c r="C88" s="62" t="s">
        <v>130</v>
      </c>
      <c r="D88" s="30"/>
      <c r="E88" s="30"/>
      <c r="F88" s="30"/>
      <c r="G88" s="30"/>
      <c r="H88" s="30"/>
      <c r="I88" s="30"/>
      <c r="J88" s="119">
        <f>J89+J120</f>
        <v>0</v>
      </c>
      <c r="K88" s="30"/>
      <c r="L88" s="31"/>
      <c r="M88" s="58"/>
      <c r="N88" s="49"/>
      <c r="O88" s="59"/>
      <c r="P88" s="120" t="e">
        <f>P89+P120+P176+#REF!</f>
        <v>#REF!</v>
      </c>
      <c r="Q88" s="59"/>
      <c r="R88" s="120" t="e">
        <f>R89+R120+R176+#REF!</f>
        <v>#REF!</v>
      </c>
      <c r="S88" s="59"/>
      <c r="T88" s="121" t="e">
        <f>T89+T120+T176+#REF!</f>
        <v>#REF!</v>
      </c>
      <c r="U88" s="30"/>
      <c r="V88" s="30"/>
      <c r="W88" s="30"/>
      <c r="X88" s="30"/>
      <c r="Y88" s="30"/>
      <c r="Z88" s="30"/>
      <c r="AA88" s="30"/>
      <c r="AB88" s="30"/>
      <c r="AC88" s="30"/>
      <c r="AD88" s="30"/>
      <c r="AE88" s="30"/>
      <c r="AT88" s="18" t="s">
        <v>71</v>
      </c>
      <c r="AU88" s="18" t="s">
        <v>104</v>
      </c>
      <c r="BK88" s="122" t="e">
        <f>BK89+BK120+BK176+#REF!</f>
        <v>#REF!</v>
      </c>
    </row>
    <row r="89" spans="2:63" s="12" customFormat="1" ht="25.9" customHeight="1">
      <c r="B89" s="123"/>
      <c r="D89" s="124" t="s">
        <v>71</v>
      </c>
      <c r="E89" s="125" t="s">
        <v>131</v>
      </c>
      <c r="F89" s="125" t="s">
        <v>132</v>
      </c>
      <c r="J89" s="126">
        <f>J90+J96+J103+J117</f>
        <v>0</v>
      </c>
      <c r="L89" s="123"/>
      <c r="M89" s="127"/>
      <c r="N89" s="128"/>
      <c r="O89" s="128"/>
      <c r="P89" s="129" t="e">
        <f>#REF!+#REF!+P90+P96+P103+P117</f>
        <v>#REF!</v>
      </c>
      <c r="Q89" s="128"/>
      <c r="R89" s="129" t="e">
        <f>#REF!+#REF!+R90+R96+R103+R117</f>
        <v>#REF!</v>
      </c>
      <c r="S89" s="128"/>
      <c r="T89" s="130" t="e">
        <f>#REF!+#REF!+T90+T96+T103+T117</f>
        <v>#REF!</v>
      </c>
      <c r="AR89" s="124" t="s">
        <v>80</v>
      </c>
      <c r="AT89" s="131" t="s">
        <v>71</v>
      </c>
      <c r="AU89" s="131" t="s">
        <v>72</v>
      </c>
      <c r="AY89" s="124" t="s">
        <v>133</v>
      </c>
      <c r="BK89" s="132" t="e">
        <f>#REF!+#REF!+BK90+BK96+BK103+BK117</f>
        <v>#REF!</v>
      </c>
    </row>
    <row r="90" spans="2:63" s="12" customFormat="1" ht="22.9" customHeight="1">
      <c r="B90" s="123"/>
      <c r="D90" s="124" t="s">
        <v>71</v>
      </c>
      <c r="E90" s="133" t="s">
        <v>148</v>
      </c>
      <c r="F90" s="133" t="s">
        <v>153</v>
      </c>
      <c r="J90" s="134">
        <f>BK90</f>
        <v>0</v>
      </c>
      <c r="L90" s="123"/>
      <c r="M90" s="127"/>
      <c r="N90" s="128"/>
      <c r="O90" s="128"/>
      <c r="P90" s="129">
        <f>SUM(P91:P95)</f>
        <v>1.06</v>
      </c>
      <c r="Q90" s="128"/>
      <c r="R90" s="129">
        <f>SUM(R91:R95)</f>
        <v>0.039099999999999996</v>
      </c>
      <c r="S90" s="128"/>
      <c r="T90" s="130">
        <f>SUM(T91:T95)</f>
        <v>0</v>
      </c>
      <c r="AR90" s="124" t="s">
        <v>80</v>
      </c>
      <c r="AT90" s="131" t="s">
        <v>71</v>
      </c>
      <c r="AU90" s="131" t="s">
        <v>80</v>
      </c>
      <c r="AY90" s="124" t="s">
        <v>133</v>
      </c>
      <c r="BK90" s="132">
        <f>SUM(BK91:BK95)</f>
        <v>0</v>
      </c>
    </row>
    <row r="91" spans="1:65" s="2" customFormat="1" ht="14.45" customHeight="1">
      <c r="A91" s="30"/>
      <c r="B91" s="135"/>
      <c r="C91" s="136">
        <v>1</v>
      </c>
      <c r="D91" s="136" t="s">
        <v>136</v>
      </c>
      <c r="E91" s="137" t="s">
        <v>384</v>
      </c>
      <c r="F91" s="138" t="s">
        <v>385</v>
      </c>
      <c r="G91" s="139" t="s">
        <v>149</v>
      </c>
      <c r="H91" s="140">
        <f>H94</f>
        <v>0.5</v>
      </c>
      <c r="I91" s="141"/>
      <c r="J91" s="141">
        <f>ROUND(I91*H91,2)</f>
        <v>0</v>
      </c>
      <c r="K91" s="138" t="s">
        <v>141</v>
      </c>
      <c r="L91" s="31"/>
      <c r="M91" s="142" t="s">
        <v>3</v>
      </c>
      <c r="N91" s="143" t="s">
        <v>43</v>
      </c>
      <c r="O91" s="144">
        <v>0.624</v>
      </c>
      <c r="P91" s="144">
        <f>O91*H91</f>
        <v>0.312</v>
      </c>
      <c r="Q91" s="144">
        <v>0.04</v>
      </c>
      <c r="R91" s="144">
        <f>Q91*H91</f>
        <v>0.02</v>
      </c>
      <c r="S91" s="144">
        <v>0</v>
      </c>
      <c r="T91" s="145">
        <f>S91*H91</f>
        <v>0</v>
      </c>
      <c r="U91" s="30"/>
      <c r="V91" s="30"/>
      <c r="W91" s="30"/>
      <c r="X91" s="30"/>
      <c r="Y91" s="30"/>
      <c r="Z91" s="30"/>
      <c r="AA91" s="30"/>
      <c r="AB91" s="30"/>
      <c r="AC91" s="30"/>
      <c r="AD91" s="30"/>
      <c r="AE91" s="30"/>
      <c r="AR91" s="146" t="s">
        <v>138</v>
      </c>
      <c r="AT91" s="146" t="s">
        <v>136</v>
      </c>
      <c r="AU91" s="146" t="s">
        <v>82</v>
      </c>
      <c r="AY91" s="18" t="s">
        <v>133</v>
      </c>
      <c r="BE91" s="147">
        <f>IF(N91="základní",J91,0)</f>
        <v>0</v>
      </c>
      <c r="BF91" s="147">
        <f>IF(N91="snížená",J91,0)</f>
        <v>0</v>
      </c>
      <c r="BG91" s="147">
        <f>IF(N91="zákl. přenesená",J91,0)</f>
        <v>0</v>
      </c>
      <c r="BH91" s="147">
        <f>IF(N91="sníž. přenesená",J91,0)</f>
        <v>0</v>
      </c>
      <c r="BI91" s="147">
        <f>IF(N91="nulová",J91,0)</f>
        <v>0</v>
      </c>
      <c r="BJ91" s="18" t="s">
        <v>80</v>
      </c>
      <c r="BK91" s="147">
        <f>ROUND(I91*H91,2)</f>
        <v>0</v>
      </c>
      <c r="BL91" s="18" t="s">
        <v>138</v>
      </c>
      <c r="BM91" s="146" t="s">
        <v>386</v>
      </c>
    </row>
    <row r="92" spans="1:47" s="2" customFormat="1" ht="39">
      <c r="A92" s="30"/>
      <c r="B92" s="31"/>
      <c r="C92" s="30"/>
      <c r="D92" s="149" t="s">
        <v>142</v>
      </c>
      <c r="E92" s="30"/>
      <c r="F92" s="162" t="s">
        <v>387</v>
      </c>
      <c r="G92" s="30"/>
      <c r="H92" s="30"/>
      <c r="I92" s="30"/>
      <c r="J92" s="30"/>
      <c r="K92" s="30"/>
      <c r="L92" s="31"/>
      <c r="M92" s="163"/>
      <c r="N92" s="164"/>
      <c r="O92" s="51"/>
      <c r="P92" s="51"/>
      <c r="Q92" s="51"/>
      <c r="R92" s="51"/>
      <c r="S92" s="51"/>
      <c r="T92" s="52"/>
      <c r="U92" s="30"/>
      <c r="V92" s="30"/>
      <c r="W92" s="30"/>
      <c r="X92" s="30"/>
      <c r="Y92" s="30"/>
      <c r="Z92" s="30"/>
      <c r="AA92" s="30"/>
      <c r="AB92" s="30"/>
      <c r="AC92" s="30"/>
      <c r="AD92" s="30"/>
      <c r="AE92" s="30"/>
      <c r="AT92" s="18" t="s">
        <v>142</v>
      </c>
      <c r="AU92" s="18" t="s">
        <v>82</v>
      </c>
    </row>
    <row r="93" spans="2:51" s="13" customFormat="1" ht="12">
      <c r="B93" s="148"/>
      <c r="D93" s="149" t="s">
        <v>139</v>
      </c>
      <c r="E93" s="150" t="s">
        <v>3</v>
      </c>
      <c r="F93" s="151" t="s">
        <v>152</v>
      </c>
      <c r="H93" s="150" t="s">
        <v>3</v>
      </c>
      <c r="L93" s="148"/>
      <c r="M93" s="152"/>
      <c r="N93" s="153"/>
      <c r="O93" s="153"/>
      <c r="P93" s="153"/>
      <c r="Q93" s="153"/>
      <c r="R93" s="153"/>
      <c r="S93" s="153"/>
      <c r="T93" s="154"/>
      <c r="AT93" s="150" t="s">
        <v>139</v>
      </c>
      <c r="AU93" s="150" t="s">
        <v>82</v>
      </c>
      <c r="AV93" s="13" t="s">
        <v>80</v>
      </c>
      <c r="AW93" s="13" t="s">
        <v>34</v>
      </c>
      <c r="AX93" s="13" t="s">
        <v>72</v>
      </c>
      <c r="AY93" s="150" t="s">
        <v>133</v>
      </c>
    </row>
    <row r="94" spans="2:51" s="14" customFormat="1" ht="12">
      <c r="B94" s="155"/>
      <c r="D94" s="149" t="s">
        <v>139</v>
      </c>
      <c r="E94" s="156" t="s">
        <v>3</v>
      </c>
      <c r="F94" s="157" t="s">
        <v>999</v>
      </c>
      <c r="H94" s="158">
        <f>2*0.1+2*0.15</f>
        <v>0.5</v>
      </c>
      <c r="L94" s="155"/>
      <c r="M94" s="159"/>
      <c r="N94" s="160"/>
      <c r="O94" s="160"/>
      <c r="P94" s="160"/>
      <c r="Q94" s="160"/>
      <c r="R94" s="160"/>
      <c r="S94" s="160"/>
      <c r="T94" s="161"/>
      <c r="AT94" s="156" t="s">
        <v>139</v>
      </c>
      <c r="AU94" s="156" t="s">
        <v>82</v>
      </c>
      <c r="AV94" s="14" t="s">
        <v>82</v>
      </c>
      <c r="AW94" s="14" t="s">
        <v>34</v>
      </c>
      <c r="AX94" s="14" t="s">
        <v>80</v>
      </c>
      <c r="AY94" s="156" t="s">
        <v>133</v>
      </c>
    </row>
    <row r="95" spans="1:65" s="2" customFormat="1" ht="24.2" customHeight="1">
      <c r="A95" s="30"/>
      <c r="B95" s="135"/>
      <c r="C95" s="136">
        <v>2</v>
      </c>
      <c r="D95" s="136" t="s">
        <v>136</v>
      </c>
      <c r="E95" s="137" t="s">
        <v>388</v>
      </c>
      <c r="F95" s="138" t="s">
        <v>389</v>
      </c>
      <c r="G95" s="139" t="s">
        <v>149</v>
      </c>
      <c r="H95" s="140">
        <f>H91</f>
        <v>0.5</v>
      </c>
      <c r="I95" s="141"/>
      <c r="J95" s="141">
        <f>ROUND(I95*H95,2)</f>
        <v>0</v>
      </c>
      <c r="K95" s="138" t="s">
        <v>141</v>
      </c>
      <c r="L95" s="31"/>
      <c r="M95" s="142" t="s">
        <v>3</v>
      </c>
      <c r="N95" s="143" t="s">
        <v>43</v>
      </c>
      <c r="O95" s="144">
        <v>1.496</v>
      </c>
      <c r="P95" s="144">
        <f>O95*H95</f>
        <v>0.748</v>
      </c>
      <c r="Q95" s="144">
        <v>0.0382</v>
      </c>
      <c r="R95" s="144">
        <f>Q95*H95</f>
        <v>0.0191</v>
      </c>
      <c r="S95" s="144">
        <v>0</v>
      </c>
      <c r="T95" s="145">
        <f>S95*H95</f>
        <v>0</v>
      </c>
      <c r="U95" s="30"/>
      <c r="V95" s="30"/>
      <c r="W95" s="30"/>
      <c r="X95" s="30"/>
      <c r="Y95" s="30"/>
      <c r="Z95" s="30"/>
      <c r="AA95" s="30"/>
      <c r="AB95" s="30"/>
      <c r="AC95" s="30"/>
      <c r="AD95" s="30"/>
      <c r="AE95" s="30"/>
      <c r="AR95" s="146" t="s">
        <v>138</v>
      </c>
      <c r="AT95" s="146" t="s">
        <v>136</v>
      </c>
      <c r="AU95" s="146" t="s">
        <v>82</v>
      </c>
      <c r="AY95" s="18" t="s">
        <v>133</v>
      </c>
      <c r="BE95" s="147">
        <f>IF(N95="základní",J95,0)</f>
        <v>0</v>
      </c>
      <c r="BF95" s="147">
        <f>IF(N95="snížená",J95,0)</f>
        <v>0</v>
      </c>
      <c r="BG95" s="147">
        <f>IF(N95="zákl. přenesená",J95,0)</f>
        <v>0</v>
      </c>
      <c r="BH95" s="147">
        <f>IF(N95="sníž. přenesená",J95,0)</f>
        <v>0</v>
      </c>
      <c r="BI95" s="147">
        <f>IF(N95="nulová",J95,0)</f>
        <v>0</v>
      </c>
      <c r="BJ95" s="18" t="s">
        <v>80</v>
      </c>
      <c r="BK95" s="147">
        <f>ROUND(I95*H95,2)</f>
        <v>0</v>
      </c>
      <c r="BL95" s="18" t="s">
        <v>138</v>
      </c>
      <c r="BM95" s="146" t="s">
        <v>390</v>
      </c>
    </row>
    <row r="96" spans="2:63" s="12" customFormat="1" ht="22.9" customHeight="1">
      <c r="B96" s="123"/>
      <c r="D96" s="124" t="s">
        <v>71</v>
      </c>
      <c r="E96" s="133" t="s">
        <v>150</v>
      </c>
      <c r="F96" s="133" t="s">
        <v>174</v>
      </c>
      <c r="J96" s="134">
        <f>BK96</f>
        <v>0</v>
      </c>
      <c r="L96" s="123"/>
      <c r="M96" s="127"/>
      <c r="N96" s="128"/>
      <c r="O96" s="128"/>
      <c r="P96" s="129">
        <f>SUM(P97:P102)</f>
        <v>2.02</v>
      </c>
      <c r="Q96" s="128"/>
      <c r="R96" s="129">
        <f>SUM(R97:R102)</f>
        <v>0</v>
      </c>
      <c r="S96" s="128"/>
      <c r="T96" s="130">
        <f>SUM(T97:T102)</f>
        <v>0.11599999999999999</v>
      </c>
      <c r="AR96" s="124" t="s">
        <v>80</v>
      </c>
      <c r="AT96" s="131" t="s">
        <v>71</v>
      </c>
      <c r="AU96" s="131" t="s">
        <v>80</v>
      </c>
      <c r="AY96" s="124" t="s">
        <v>133</v>
      </c>
      <c r="BK96" s="132">
        <f>SUM(BK97:BK102)</f>
        <v>0</v>
      </c>
    </row>
    <row r="97" spans="1:65" s="2" customFormat="1" ht="37.9" customHeight="1">
      <c r="A97" s="30"/>
      <c r="B97" s="135"/>
      <c r="C97" s="136">
        <v>3</v>
      </c>
      <c r="D97" s="136" t="s">
        <v>136</v>
      </c>
      <c r="E97" s="137" t="s">
        <v>391</v>
      </c>
      <c r="F97" s="138" t="s">
        <v>392</v>
      </c>
      <c r="G97" s="139" t="s">
        <v>151</v>
      </c>
      <c r="H97" s="140">
        <f>H99</f>
        <v>2</v>
      </c>
      <c r="I97" s="141"/>
      <c r="J97" s="141">
        <f>ROUND(I97*H97,2)</f>
        <v>0</v>
      </c>
      <c r="K97" s="138" t="s">
        <v>141</v>
      </c>
      <c r="L97" s="31"/>
      <c r="M97" s="142" t="s">
        <v>3</v>
      </c>
      <c r="N97" s="143" t="s">
        <v>43</v>
      </c>
      <c r="O97" s="144">
        <v>0.342</v>
      </c>
      <c r="P97" s="144">
        <f>O97*H97</f>
        <v>0.684</v>
      </c>
      <c r="Q97" s="144">
        <v>0</v>
      </c>
      <c r="R97" s="144">
        <f>Q97*H97</f>
        <v>0</v>
      </c>
      <c r="S97" s="144">
        <v>0.018</v>
      </c>
      <c r="T97" s="145">
        <f>S97*H97</f>
        <v>0.036</v>
      </c>
      <c r="U97" s="30"/>
      <c r="V97" s="30"/>
      <c r="W97" s="30"/>
      <c r="X97" s="30"/>
      <c r="Y97" s="30"/>
      <c r="Z97" s="30"/>
      <c r="AA97" s="30"/>
      <c r="AB97" s="30"/>
      <c r="AC97" s="30"/>
      <c r="AD97" s="30"/>
      <c r="AE97" s="30"/>
      <c r="AR97" s="146" t="s">
        <v>138</v>
      </c>
      <c r="AT97" s="146" t="s">
        <v>136</v>
      </c>
      <c r="AU97" s="146" t="s">
        <v>82</v>
      </c>
      <c r="AY97" s="18" t="s">
        <v>133</v>
      </c>
      <c r="BE97" s="147">
        <f>IF(N97="základní",J97,0)</f>
        <v>0</v>
      </c>
      <c r="BF97" s="147">
        <f>IF(N97="snížená",J97,0)</f>
        <v>0</v>
      </c>
      <c r="BG97" s="147">
        <f>IF(N97="zákl. přenesená",J97,0)</f>
        <v>0</v>
      </c>
      <c r="BH97" s="147">
        <f>IF(N97="sníž. přenesená",J97,0)</f>
        <v>0</v>
      </c>
      <c r="BI97" s="147">
        <f>IF(N97="nulová",J97,0)</f>
        <v>0</v>
      </c>
      <c r="BJ97" s="18" t="s">
        <v>80</v>
      </c>
      <c r="BK97" s="147">
        <f>ROUND(I97*H97,2)</f>
        <v>0</v>
      </c>
      <c r="BL97" s="18" t="s">
        <v>138</v>
      </c>
      <c r="BM97" s="146" t="s">
        <v>393</v>
      </c>
    </row>
    <row r="98" spans="2:51" s="13" customFormat="1" ht="12">
      <c r="B98" s="148"/>
      <c r="D98" s="149" t="s">
        <v>139</v>
      </c>
      <c r="E98" s="150" t="s">
        <v>3</v>
      </c>
      <c r="F98" s="151" t="s">
        <v>901</v>
      </c>
      <c r="H98" s="150" t="s">
        <v>3</v>
      </c>
      <c r="L98" s="148"/>
      <c r="M98" s="152"/>
      <c r="N98" s="153"/>
      <c r="O98" s="153"/>
      <c r="P98" s="153"/>
      <c r="Q98" s="153"/>
      <c r="R98" s="153"/>
      <c r="S98" s="153"/>
      <c r="T98" s="154"/>
      <c r="AT98" s="150" t="s">
        <v>139</v>
      </c>
      <c r="AU98" s="150" t="s">
        <v>82</v>
      </c>
      <c r="AV98" s="13" t="s">
        <v>80</v>
      </c>
      <c r="AW98" s="13" t="s">
        <v>34</v>
      </c>
      <c r="AX98" s="13" t="s">
        <v>72</v>
      </c>
      <c r="AY98" s="150" t="s">
        <v>133</v>
      </c>
    </row>
    <row r="99" spans="2:51" s="14" customFormat="1" ht="12">
      <c r="B99" s="155"/>
      <c r="D99" s="149" t="s">
        <v>139</v>
      </c>
      <c r="E99" s="156" t="s">
        <v>3</v>
      </c>
      <c r="F99" s="157">
        <v>2</v>
      </c>
      <c r="H99" s="158">
        <f>F99</f>
        <v>2</v>
      </c>
      <c r="L99" s="155"/>
      <c r="M99" s="159"/>
      <c r="N99" s="160"/>
      <c r="O99" s="160"/>
      <c r="P99" s="160"/>
      <c r="Q99" s="160"/>
      <c r="R99" s="160"/>
      <c r="S99" s="160"/>
      <c r="T99" s="161"/>
      <c r="AT99" s="156" t="s">
        <v>139</v>
      </c>
      <c r="AU99" s="156" t="s">
        <v>82</v>
      </c>
      <c r="AV99" s="14" t="s">
        <v>82</v>
      </c>
      <c r="AW99" s="14" t="s">
        <v>34</v>
      </c>
      <c r="AX99" s="14" t="s">
        <v>80</v>
      </c>
      <c r="AY99" s="156" t="s">
        <v>133</v>
      </c>
    </row>
    <row r="100" spans="1:65" s="2" customFormat="1" ht="37.9" customHeight="1">
      <c r="A100" s="30"/>
      <c r="B100" s="135"/>
      <c r="C100" s="136">
        <v>4</v>
      </c>
      <c r="D100" s="136" t="s">
        <v>136</v>
      </c>
      <c r="E100" s="137" t="s">
        <v>394</v>
      </c>
      <c r="F100" s="138" t="s">
        <v>395</v>
      </c>
      <c r="G100" s="139" t="s">
        <v>151</v>
      </c>
      <c r="H100" s="140">
        <f>H102</f>
        <v>2</v>
      </c>
      <c r="I100" s="141"/>
      <c r="J100" s="141">
        <f>ROUND(I100*H100,2)</f>
        <v>0</v>
      </c>
      <c r="K100" s="138" t="s">
        <v>141</v>
      </c>
      <c r="L100" s="31"/>
      <c r="M100" s="142" t="s">
        <v>3</v>
      </c>
      <c r="N100" s="143" t="s">
        <v>43</v>
      </c>
      <c r="O100" s="144">
        <v>0.668</v>
      </c>
      <c r="P100" s="144">
        <f>O100*H100</f>
        <v>1.336</v>
      </c>
      <c r="Q100" s="144">
        <v>0</v>
      </c>
      <c r="R100" s="144">
        <f>Q100*H100</f>
        <v>0</v>
      </c>
      <c r="S100" s="144">
        <v>0.04</v>
      </c>
      <c r="T100" s="145">
        <f>S100*H100</f>
        <v>0.08</v>
      </c>
      <c r="U100" s="30"/>
      <c r="V100" s="30"/>
      <c r="W100" s="30"/>
      <c r="X100" s="30"/>
      <c r="Y100" s="30"/>
      <c r="Z100" s="30"/>
      <c r="AA100" s="30"/>
      <c r="AB100" s="30"/>
      <c r="AC100" s="30"/>
      <c r="AD100" s="30"/>
      <c r="AE100" s="30"/>
      <c r="AR100" s="146" t="s">
        <v>138</v>
      </c>
      <c r="AT100" s="146" t="s">
        <v>136</v>
      </c>
      <c r="AU100" s="146" t="s">
        <v>82</v>
      </c>
      <c r="AY100" s="18" t="s">
        <v>133</v>
      </c>
      <c r="BE100" s="147">
        <f>IF(N100="základní",J100,0)</f>
        <v>0</v>
      </c>
      <c r="BF100" s="147">
        <f>IF(N100="snížená",J100,0)</f>
        <v>0</v>
      </c>
      <c r="BG100" s="147">
        <f>IF(N100="zákl. přenesená",J100,0)</f>
        <v>0</v>
      </c>
      <c r="BH100" s="147">
        <f>IF(N100="sníž. přenesená",J100,0)</f>
        <v>0</v>
      </c>
      <c r="BI100" s="147">
        <f>IF(N100="nulová",J100,0)</f>
        <v>0</v>
      </c>
      <c r="BJ100" s="18" t="s">
        <v>80</v>
      </c>
      <c r="BK100" s="147">
        <f>ROUND(I100*H100,2)</f>
        <v>0</v>
      </c>
      <c r="BL100" s="18" t="s">
        <v>138</v>
      </c>
      <c r="BM100" s="146" t="s">
        <v>396</v>
      </c>
    </row>
    <row r="101" spans="2:51" s="13" customFormat="1" ht="12">
      <c r="B101" s="148"/>
      <c r="D101" s="149" t="s">
        <v>139</v>
      </c>
      <c r="E101" s="150" t="s">
        <v>3</v>
      </c>
      <c r="F101" s="151" t="s">
        <v>902</v>
      </c>
      <c r="H101" s="150" t="s">
        <v>3</v>
      </c>
      <c r="L101" s="148"/>
      <c r="M101" s="152"/>
      <c r="N101" s="153"/>
      <c r="O101" s="153"/>
      <c r="P101" s="153"/>
      <c r="Q101" s="153"/>
      <c r="R101" s="153"/>
      <c r="S101" s="153"/>
      <c r="T101" s="154"/>
      <c r="AT101" s="150" t="s">
        <v>139</v>
      </c>
      <c r="AU101" s="150" t="s">
        <v>82</v>
      </c>
      <c r="AV101" s="13" t="s">
        <v>80</v>
      </c>
      <c r="AW101" s="13" t="s">
        <v>34</v>
      </c>
      <c r="AX101" s="13" t="s">
        <v>72</v>
      </c>
      <c r="AY101" s="150" t="s">
        <v>133</v>
      </c>
    </row>
    <row r="102" spans="2:51" s="14" customFormat="1" ht="12">
      <c r="B102" s="155"/>
      <c r="D102" s="149" t="s">
        <v>139</v>
      </c>
      <c r="E102" s="156" t="s">
        <v>3</v>
      </c>
      <c r="F102" s="157">
        <v>2</v>
      </c>
      <c r="H102" s="158">
        <f>F102</f>
        <v>2</v>
      </c>
      <c r="L102" s="155"/>
      <c r="M102" s="159"/>
      <c r="N102" s="160"/>
      <c r="O102" s="160"/>
      <c r="P102" s="160"/>
      <c r="Q102" s="160"/>
      <c r="R102" s="160"/>
      <c r="S102" s="160"/>
      <c r="T102" s="161"/>
      <c r="AT102" s="156" t="s">
        <v>139</v>
      </c>
      <c r="AU102" s="156" t="s">
        <v>82</v>
      </c>
      <c r="AV102" s="14" t="s">
        <v>82</v>
      </c>
      <c r="AW102" s="14" t="s">
        <v>34</v>
      </c>
      <c r="AX102" s="14" t="s">
        <v>80</v>
      </c>
      <c r="AY102" s="156" t="s">
        <v>133</v>
      </c>
    </row>
    <row r="103" spans="2:63" s="12" customFormat="1" ht="22.9" customHeight="1">
      <c r="B103" s="123"/>
      <c r="D103" s="124" t="s">
        <v>71</v>
      </c>
      <c r="E103" s="133" t="s">
        <v>187</v>
      </c>
      <c r="F103" s="133" t="s">
        <v>188</v>
      </c>
      <c r="J103" s="134">
        <f>BK103</f>
        <v>0</v>
      </c>
      <c r="L103" s="123"/>
      <c r="M103" s="127"/>
      <c r="N103" s="128"/>
      <c r="O103" s="128"/>
      <c r="P103" s="129">
        <f>SUM(P104:P116)</f>
        <v>0.49264149999999995</v>
      </c>
      <c r="Q103" s="128"/>
      <c r="R103" s="129">
        <f>SUM(R104:R116)</f>
        <v>0</v>
      </c>
      <c r="S103" s="128"/>
      <c r="T103" s="130">
        <f>SUM(T104:T116)</f>
        <v>0</v>
      </c>
      <c r="AR103" s="124" t="s">
        <v>80</v>
      </c>
      <c r="AT103" s="131" t="s">
        <v>71</v>
      </c>
      <c r="AU103" s="131" t="s">
        <v>80</v>
      </c>
      <c r="AY103" s="124" t="s">
        <v>133</v>
      </c>
      <c r="BK103" s="132">
        <f>SUM(BK104:BK116)</f>
        <v>0</v>
      </c>
    </row>
    <row r="104" spans="1:65" s="2" customFormat="1" ht="37.9" customHeight="1">
      <c r="A104" s="30"/>
      <c r="B104" s="135"/>
      <c r="C104" s="136">
        <v>5</v>
      </c>
      <c r="D104" s="136" t="s">
        <v>136</v>
      </c>
      <c r="E104" s="137" t="s">
        <v>189</v>
      </c>
      <c r="F104" s="138" t="s">
        <v>190</v>
      </c>
      <c r="G104" s="139" t="s">
        <v>144</v>
      </c>
      <c r="H104" s="140">
        <f>(2*0.1*0.1+2*0.15*0.15)*1.9</f>
        <v>0.1235</v>
      </c>
      <c r="I104" s="141"/>
      <c r="J104" s="141">
        <f>ROUND(I104*H104,2)</f>
        <v>0</v>
      </c>
      <c r="K104" s="138" t="s">
        <v>141</v>
      </c>
      <c r="L104" s="31"/>
      <c r="M104" s="142" t="s">
        <v>3</v>
      </c>
      <c r="N104" s="143" t="s">
        <v>43</v>
      </c>
      <c r="O104" s="144">
        <v>2.42</v>
      </c>
      <c r="P104" s="144">
        <f>O104*H104</f>
        <v>0.29886999999999997</v>
      </c>
      <c r="Q104" s="144">
        <v>0</v>
      </c>
      <c r="R104" s="144">
        <f>Q104*H104</f>
        <v>0</v>
      </c>
      <c r="S104" s="144">
        <v>0</v>
      </c>
      <c r="T104" s="145">
        <f>S104*H104</f>
        <v>0</v>
      </c>
      <c r="U104" s="30"/>
      <c r="V104" s="30"/>
      <c r="W104" s="30"/>
      <c r="X104" s="30"/>
      <c r="Y104" s="30"/>
      <c r="Z104" s="30"/>
      <c r="AA104" s="30"/>
      <c r="AB104" s="30"/>
      <c r="AC104" s="30"/>
      <c r="AD104" s="30"/>
      <c r="AE104" s="30"/>
      <c r="AR104" s="146" t="s">
        <v>138</v>
      </c>
      <c r="AT104" s="146" t="s">
        <v>136</v>
      </c>
      <c r="AU104" s="146" t="s">
        <v>82</v>
      </c>
      <c r="AY104" s="18" t="s">
        <v>133</v>
      </c>
      <c r="BE104" s="147">
        <f>IF(N104="základní",J104,0)</f>
        <v>0</v>
      </c>
      <c r="BF104" s="147">
        <f>IF(N104="snížená",J104,0)</f>
        <v>0</v>
      </c>
      <c r="BG104" s="147">
        <f>IF(N104="zákl. přenesená",J104,0)</f>
        <v>0</v>
      </c>
      <c r="BH104" s="147">
        <f>IF(N104="sníž. přenesená",J104,0)</f>
        <v>0</v>
      </c>
      <c r="BI104" s="147">
        <f>IF(N104="nulová",J104,0)</f>
        <v>0</v>
      </c>
      <c r="BJ104" s="18" t="s">
        <v>80</v>
      </c>
      <c r="BK104" s="147">
        <f>ROUND(I104*H104,2)</f>
        <v>0</v>
      </c>
      <c r="BL104" s="18" t="s">
        <v>138</v>
      </c>
      <c r="BM104" s="146" t="s">
        <v>397</v>
      </c>
    </row>
    <row r="105" spans="1:47" s="2" customFormat="1" ht="146.25">
      <c r="A105" s="30"/>
      <c r="B105" s="31"/>
      <c r="C105" s="30"/>
      <c r="D105" s="149" t="s">
        <v>142</v>
      </c>
      <c r="E105" s="30"/>
      <c r="F105" s="162" t="s">
        <v>192</v>
      </c>
      <c r="G105" s="30"/>
      <c r="H105" s="30"/>
      <c r="I105" s="30"/>
      <c r="J105" s="30"/>
      <c r="K105" s="30"/>
      <c r="L105" s="31"/>
      <c r="M105" s="163"/>
      <c r="N105" s="164"/>
      <c r="O105" s="51"/>
      <c r="P105" s="51"/>
      <c r="Q105" s="51"/>
      <c r="R105" s="51"/>
      <c r="S105" s="51"/>
      <c r="T105" s="52"/>
      <c r="U105" s="30"/>
      <c r="V105" s="30"/>
      <c r="W105" s="30"/>
      <c r="X105" s="30"/>
      <c r="Y105" s="30"/>
      <c r="Z105" s="30"/>
      <c r="AA105" s="30"/>
      <c r="AB105" s="30"/>
      <c r="AC105" s="30"/>
      <c r="AD105" s="30"/>
      <c r="AE105" s="30"/>
      <c r="AT105" s="18" t="s">
        <v>142</v>
      </c>
      <c r="AU105" s="18" t="s">
        <v>82</v>
      </c>
    </row>
    <row r="106" spans="1:65" s="2" customFormat="1" ht="62.65" customHeight="1">
      <c r="A106" s="30"/>
      <c r="B106" s="135"/>
      <c r="C106" s="136">
        <v>6</v>
      </c>
      <c r="D106" s="136" t="s">
        <v>136</v>
      </c>
      <c r="E106" s="137" t="s">
        <v>193</v>
      </c>
      <c r="F106" s="138" t="s">
        <v>194</v>
      </c>
      <c r="G106" s="139" t="s">
        <v>144</v>
      </c>
      <c r="H106" s="140">
        <f>H108</f>
        <v>0.6174999999999999</v>
      </c>
      <c r="I106" s="141"/>
      <c r="J106" s="141">
        <f>ROUND(I106*H106,2)</f>
        <v>0</v>
      </c>
      <c r="K106" s="138" t="s">
        <v>141</v>
      </c>
      <c r="L106" s="31"/>
      <c r="M106" s="142" t="s">
        <v>3</v>
      </c>
      <c r="N106" s="143" t="s">
        <v>43</v>
      </c>
      <c r="O106" s="144">
        <v>0.26</v>
      </c>
      <c r="P106" s="144">
        <f>O106*H106</f>
        <v>0.16055</v>
      </c>
      <c r="Q106" s="144">
        <v>0</v>
      </c>
      <c r="R106" s="144">
        <f>Q106*H106</f>
        <v>0</v>
      </c>
      <c r="S106" s="144">
        <v>0</v>
      </c>
      <c r="T106" s="145">
        <f>S106*H106</f>
        <v>0</v>
      </c>
      <c r="U106" s="30"/>
      <c r="V106" s="30"/>
      <c r="W106" s="30"/>
      <c r="X106" s="30"/>
      <c r="Y106" s="30"/>
      <c r="Z106" s="30"/>
      <c r="AA106" s="30"/>
      <c r="AB106" s="30"/>
      <c r="AC106" s="30"/>
      <c r="AD106" s="30"/>
      <c r="AE106" s="30"/>
      <c r="AR106" s="146" t="s">
        <v>138</v>
      </c>
      <c r="AT106" s="146" t="s">
        <v>136</v>
      </c>
      <c r="AU106" s="146" t="s">
        <v>82</v>
      </c>
      <c r="AY106" s="18" t="s">
        <v>133</v>
      </c>
      <c r="BE106" s="147">
        <f>IF(N106="základní",J106,0)</f>
        <v>0</v>
      </c>
      <c r="BF106" s="147">
        <f>IF(N106="snížená",J106,0)</f>
        <v>0</v>
      </c>
      <c r="BG106" s="147">
        <f>IF(N106="zákl. přenesená",J106,0)</f>
        <v>0</v>
      </c>
      <c r="BH106" s="147">
        <f>IF(N106="sníž. přenesená",J106,0)</f>
        <v>0</v>
      </c>
      <c r="BI106" s="147">
        <f>IF(N106="nulová",J106,0)</f>
        <v>0</v>
      </c>
      <c r="BJ106" s="18" t="s">
        <v>80</v>
      </c>
      <c r="BK106" s="147">
        <f>ROUND(I106*H106,2)</f>
        <v>0</v>
      </c>
      <c r="BL106" s="18" t="s">
        <v>138</v>
      </c>
      <c r="BM106" s="146" t="s">
        <v>398</v>
      </c>
    </row>
    <row r="107" spans="1:47" s="2" customFormat="1" ht="146.25">
      <c r="A107" s="30"/>
      <c r="B107" s="31"/>
      <c r="C107" s="30"/>
      <c r="D107" s="149" t="s">
        <v>142</v>
      </c>
      <c r="E107" s="30"/>
      <c r="F107" s="162" t="s">
        <v>192</v>
      </c>
      <c r="G107" s="30"/>
      <c r="H107" s="30"/>
      <c r="I107" s="30"/>
      <c r="J107" s="30"/>
      <c r="K107" s="30"/>
      <c r="L107" s="31"/>
      <c r="M107" s="163"/>
      <c r="N107" s="164"/>
      <c r="O107" s="51"/>
      <c r="P107" s="51"/>
      <c r="Q107" s="51"/>
      <c r="R107" s="51"/>
      <c r="S107" s="51"/>
      <c r="T107" s="52"/>
      <c r="U107" s="30"/>
      <c r="V107" s="30"/>
      <c r="W107" s="30"/>
      <c r="X107" s="30"/>
      <c r="Y107" s="30"/>
      <c r="Z107" s="30"/>
      <c r="AA107" s="30"/>
      <c r="AB107" s="30"/>
      <c r="AC107" s="30"/>
      <c r="AD107" s="30"/>
      <c r="AE107" s="30"/>
      <c r="AT107" s="18" t="s">
        <v>142</v>
      </c>
      <c r="AU107" s="18" t="s">
        <v>82</v>
      </c>
    </row>
    <row r="108" spans="2:51" s="14" customFormat="1" ht="12">
      <c r="B108" s="155"/>
      <c r="D108" s="149" t="s">
        <v>139</v>
      </c>
      <c r="F108" s="157" t="s">
        <v>1000</v>
      </c>
      <c r="H108" s="158">
        <f>H104*5</f>
        <v>0.6174999999999999</v>
      </c>
      <c r="L108" s="155"/>
      <c r="M108" s="159"/>
      <c r="N108" s="160"/>
      <c r="O108" s="160"/>
      <c r="P108" s="160"/>
      <c r="Q108" s="160"/>
      <c r="R108" s="160"/>
      <c r="S108" s="160"/>
      <c r="T108" s="161"/>
      <c r="AT108" s="156" t="s">
        <v>139</v>
      </c>
      <c r="AU108" s="156" t="s">
        <v>82</v>
      </c>
      <c r="AV108" s="14" t="s">
        <v>82</v>
      </c>
      <c r="AW108" s="14" t="s">
        <v>4</v>
      </c>
      <c r="AX108" s="14" t="s">
        <v>80</v>
      </c>
      <c r="AY108" s="156" t="s">
        <v>133</v>
      </c>
    </row>
    <row r="109" spans="1:65" s="2" customFormat="1" ht="24.2" customHeight="1">
      <c r="A109" s="30"/>
      <c r="B109" s="135"/>
      <c r="C109" s="136">
        <v>7</v>
      </c>
      <c r="D109" s="136" t="s">
        <v>136</v>
      </c>
      <c r="E109" s="137" t="s">
        <v>196</v>
      </c>
      <c r="F109" s="138" t="s">
        <v>197</v>
      </c>
      <c r="G109" s="139" t="s">
        <v>144</v>
      </c>
      <c r="H109" s="140">
        <f>H104</f>
        <v>0.1235</v>
      </c>
      <c r="I109" s="141"/>
      <c r="J109" s="141">
        <f>ROUND(I109*H109,2)</f>
        <v>0</v>
      </c>
      <c r="K109" s="138" t="s">
        <v>141</v>
      </c>
      <c r="L109" s="31"/>
      <c r="M109" s="142" t="s">
        <v>3</v>
      </c>
      <c r="N109" s="143" t="s">
        <v>43</v>
      </c>
      <c r="O109" s="144">
        <v>0.125</v>
      </c>
      <c r="P109" s="144">
        <f>O109*H109</f>
        <v>0.0154375</v>
      </c>
      <c r="Q109" s="144">
        <v>0</v>
      </c>
      <c r="R109" s="144">
        <f>Q109*H109</f>
        <v>0</v>
      </c>
      <c r="S109" s="144">
        <v>0</v>
      </c>
      <c r="T109" s="145">
        <f>S109*H109</f>
        <v>0</v>
      </c>
      <c r="U109" s="30"/>
      <c r="V109" s="30"/>
      <c r="W109" s="30"/>
      <c r="X109" s="30"/>
      <c r="Y109" s="30"/>
      <c r="Z109" s="30"/>
      <c r="AA109" s="30"/>
      <c r="AB109" s="30"/>
      <c r="AC109" s="30"/>
      <c r="AD109" s="30"/>
      <c r="AE109" s="30"/>
      <c r="AR109" s="146" t="s">
        <v>138</v>
      </c>
      <c r="AT109" s="146" t="s">
        <v>136</v>
      </c>
      <c r="AU109" s="146" t="s">
        <v>82</v>
      </c>
      <c r="AY109" s="18" t="s">
        <v>133</v>
      </c>
      <c r="BE109" s="147">
        <f>IF(N109="základní",J109,0)</f>
        <v>0</v>
      </c>
      <c r="BF109" s="147">
        <f>IF(N109="snížená",J109,0)</f>
        <v>0</v>
      </c>
      <c r="BG109" s="147">
        <f>IF(N109="zákl. přenesená",J109,0)</f>
        <v>0</v>
      </c>
      <c r="BH109" s="147">
        <f>IF(N109="sníž. přenesená",J109,0)</f>
        <v>0</v>
      </c>
      <c r="BI109" s="147">
        <f>IF(N109="nulová",J109,0)</f>
        <v>0</v>
      </c>
      <c r="BJ109" s="18" t="s">
        <v>80</v>
      </c>
      <c r="BK109" s="147">
        <f>ROUND(I109*H109,2)</f>
        <v>0</v>
      </c>
      <c r="BL109" s="18" t="s">
        <v>138</v>
      </c>
      <c r="BM109" s="146" t="s">
        <v>399</v>
      </c>
    </row>
    <row r="110" spans="1:47" s="2" customFormat="1" ht="97.5">
      <c r="A110" s="30"/>
      <c r="B110" s="31"/>
      <c r="C110" s="30"/>
      <c r="D110" s="149" t="s">
        <v>142</v>
      </c>
      <c r="E110" s="30"/>
      <c r="F110" s="162" t="s">
        <v>199</v>
      </c>
      <c r="G110" s="30"/>
      <c r="H110" s="30"/>
      <c r="I110" s="30"/>
      <c r="J110" s="30"/>
      <c r="K110" s="30"/>
      <c r="L110" s="31"/>
      <c r="M110" s="163"/>
      <c r="N110" s="164"/>
      <c r="O110" s="51"/>
      <c r="P110" s="51"/>
      <c r="Q110" s="51"/>
      <c r="R110" s="51"/>
      <c r="S110" s="51"/>
      <c r="T110" s="52"/>
      <c r="U110" s="30"/>
      <c r="V110" s="30"/>
      <c r="W110" s="30"/>
      <c r="X110" s="30"/>
      <c r="Y110" s="30"/>
      <c r="Z110" s="30"/>
      <c r="AA110" s="30"/>
      <c r="AB110" s="30"/>
      <c r="AC110" s="30"/>
      <c r="AD110" s="30"/>
      <c r="AE110" s="30"/>
      <c r="AT110" s="18" t="s">
        <v>142</v>
      </c>
      <c r="AU110" s="18" t="s">
        <v>82</v>
      </c>
    </row>
    <row r="111" spans="1:65" s="2" customFormat="1" ht="37.9" customHeight="1">
      <c r="A111" s="30"/>
      <c r="B111" s="135"/>
      <c r="C111" s="136">
        <v>8</v>
      </c>
      <c r="D111" s="136" t="s">
        <v>136</v>
      </c>
      <c r="E111" s="137" t="s">
        <v>200</v>
      </c>
      <c r="F111" s="138" t="s">
        <v>201</v>
      </c>
      <c r="G111" s="139" t="s">
        <v>144</v>
      </c>
      <c r="H111" s="140">
        <f>H113</f>
        <v>2.964</v>
      </c>
      <c r="I111" s="141"/>
      <c r="J111" s="141">
        <f>ROUND(I111*H111,2)</f>
        <v>0</v>
      </c>
      <c r="K111" s="138" t="s">
        <v>141</v>
      </c>
      <c r="L111" s="31"/>
      <c r="M111" s="142" t="s">
        <v>3</v>
      </c>
      <c r="N111" s="143" t="s">
        <v>43</v>
      </c>
      <c r="O111" s="144">
        <v>0.006</v>
      </c>
      <c r="P111" s="144">
        <f>O111*H111</f>
        <v>0.017784</v>
      </c>
      <c r="Q111" s="144">
        <v>0</v>
      </c>
      <c r="R111" s="144">
        <f>Q111*H111</f>
        <v>0</v>
      </c>
      <c r="S111" s="144">
        <v>0</v>
      </c>
      <c r="T111" s="145">
        <f>S111*H111</f>
        <v>0</v>
      </c>
      <c r="U111" s="30"/>
      <c r="V111" s="30"/>
      <c r="W111" s="30"/>
      <c r="X111" s="30"/>
      <c r="Y111" s="30"/>
      <c r="Z111" s="30"/>
      <c r="AA111" s="30"/>
      <c r="AB111" s="30"/>
      <c r="AC111" s="30"/>
      <c r="AD111" s="30"/>
      <c r="AE111" s="30"/>
      <c r="AR111" s="146" t="s">
        <v>138</v>
      </c>
      <c r="AT111" s="146" t="s">
        <v>136</v>
      </c>
      <c r="AU111" s="146" t="s">
        <v>82</v>
      </c>
      <c r="AY111" s="18" t="s">
        <v>133</v>
      </c>
      <c r="BE111" s="147">
        <f>IF(N111="základní",J111,0)</f>
        <v>0</v>
      </c>
      <c r="BF111" s="147">
        <f>IF(N111="snížená",J111,0)</f>
        <v>0</v>
      </c>
      <c r="BG111" s="147">
        <f>IF(N111="zákl. přenesená",J111,0)</f>
        <v>0</v>
      </c>
      <c r="BH111" s="147">
        <f>IF(N111="sníž. přenesená",J111,0)</f>
        <v>0</v>
      </c>
      <c r="BI111" s="147">
        <f>IF(N111="nulová",J111,0)</f>
        <v>0</v>
      </c>
      <c r="BJ111" s="18" t="s">
        <v>80</v>
      </c>
      <c r="BK111" s="147">
        <f>ROUND(I111*H111,2)</f>
        <v>0</v>
      </c>
      <c r="BL111" s="18" t="s">
        <v>138</v>
      </c>
      <c r="BM111" s="146" t="s">
        <v>400</v>
      </c>
    </row>
    <row r="112" spans="1:47" s="2" customFormat="1" ht="97.5">
      <c r="A112" s="30"/>
      <c r="B112" s="31"/>
      <c r="C112" s="30"/>
      <c r="D112" s="149" t="s">
        <v>142</v>
      </c>
      <c r="E112" s="30"/>
      <c r="F112" s="162" t="s">
        <v>199</v>
      </c>
      <c r="G112" s="30"/>
      <c r="H112" s="30"/>
      <c r="I112" s="30"/>
      <c r="J112" s="30"/>
      <c r="K112" s="30"/>
      <c r="L112" s="31"/>
      <c r="M112" s="163"/>
      <c r="N112" s="164"/>
      <c r="O112" s="51"/>
      <c r="P112" s="51"/>
      <c r="Q112" s="51"/>
      <c r="R112" s="51"/>
      <c r="S112" s="51"/>
      <c r="T112" s="52"/>
      <c r="U112" s="30"/>
      <c r="V112" s="30"/>
      <c r="W112" s="30"/>
      <c r="X112" s="30"/>
      <c r="Y112" s="30"/>
      <c r="Z112" s="30"/>
      <c r="AA112" s="30"/>
      <c r="AB112" s="30"/>
      <c r="AC112" s="30"/>
      <c r="AD112" s="30"/>
      <c r="AE112" s="30"/>
      <c r="AT112" s="18" t="s">
        <v>142</v>
      </c>
      <c r="AU112" s="18" t="s">
        <v>82</v>
      </c>
    </row>
    <row r="113" spans="2:51" s="14" customFormat="1" ht="12">
      <c r="B113" s="155"/>
      <c r="D113" s="149" t="s">
        <v>139</v>
      </c>
      <c r="F113" s="157" t="s">
        <v>1001</v>
      </c>
      <c r="H113" s="158">
        <f>H109*24</f>
        <v>2.964</v>
      </c>
      <c r="L113" s="155"/>
      <c r="M113" s="159"/>
      <c r="N113" s="160"/>
      <c r="O113" s="160"/>
      <c r="P113" s="160"/>
      <c r="Q113" s="160"/>
      <c r="R113" s="160"/>
      <c r="S113" s="160"/>
      <c r="T113" s="161"/>
      <c r="AT113" s="156" t="s">
        <v>139</v>
      </c>
      <c r="AU113" s="156" t="s">
        <v>82</v>
      </c>
      <c r="AV113" s="14" t="s">
        <v>82</v>
      </c>
      <c r="AW113" s="14" t="s">
        <v>4</v>
      </c>
      <c r="AX113" s="14" t="s">
        <v>80</v>
      </c>
      <c r="AY113" s="156" t="s">
        <v>133</v>
      </c>
    </row>
    <row r="114" spans="1:65" s="2" customFormat="1" ht="37.9" customHeight="1">
      <c r="A114" s="30"/>
      <c r="B114" s="135"/>
      <c r="C114" s="136">
        <v>9</v>
      </c>
      <c r="D114" s="136" t="s">
        <v>136</v>
      </c>
      <c r="E114" s="137" t="s">
        <v>203</v>
      </c>
      <c r="F114" s="138" t="s">
        <v>204</v>
      </c>
      <c r="G114" s="139" t="s">
        <v>144</v>
      </c>
      <c r="H114" s="140">
        <f>H109</f>
        <v>0.1235</v>
      </c>
      <c r="I114" s="141"/>
      <c r="J114" s="141">
        <f>ROUND(I114*H114,2)</f>
        <v>0</v>
      </c>
      <c r="K114" s="138" t="s">
        <v>141</v>
      </c>
      <c r="L114" s="31"/>
      <c r="M114" s="142" t="s">
        <v>3</v>
      </c>
      <c r="N114" s="143" t="s">
        <v>43</v>
      </c>
      <c r="O114" s="144">
        <v>0</v>
      </c>
      <c r="P114" s="144">
        <f>O114*H114</f>
        <v>0</v>
      </c>
      <c r="Q114" s="144">
        <v>0</v>
      </c>
      <c r="R114" s="144">
        <f>Q114*H114</f>
        <v>0</v>
      </c>
      <c r="S114" s="144">
        <v>0</v>
      </c>
      <c r="T114" s="145">
        <f>S114*H114</f>
        <v>0</v>
      </c>
      <c r="U114" s="30"/>
      <c r="V114" s="30"/>
      <c r="W114" s="30"/>
      <c r="X114" s="30"/>
      <c r="Y114" s="30"/>
      <c r="Z114" s="30"/>
      <c r="AA114" s="30"/>
      <c r="AB114" s="30"/>
      <c r="AC114" s="30"/>
      <c r="AD114" s="30"/>
      <c r="AE114" s="30"/>
      <c r="AR114" s="146" t="s">
        <v>138</v>
      </c>
      <c r="AT114" s="146" t="s">
        <v>136</v>
      </c>
      <c r="AU114" s="146" t="s">
        <v>82</v>
      </c>
      <c r="AY114" s="18" t="s">
        <v>133</v>
      </c>
      <c r="BE114" s="147">
        <f>IF(N114="základní",J114,0)</f>
        <v>0</v>
      </c>
      <c r="BF114" s="147">
        <f>IF(N114="snížená",J114,0)</f>
        <v>0</v>
      </c>
      <c r="BG114" s="147">
        <f>IF(N114="zákl. přenesená",J114,0)</f>
        <v>0</v>
      </c>
      <c r="BH114" s="147">
        <f>IF(N114="sníž. přenesená",J114,0)</f>
        <v>0</v>
      </c>
      <c r="BI114" s="147">
        <f>IF(N114="nulová",J114,0)</f>
        <v>0</v>
      </c>
      <c r="BJ114" s="18" t="s">
        <v>80</v>
      </c>
      <c r="BK114" s="147">
        <f>ROUND(I114*H114,2)</f>
        <v>0</v>
      </c>
      <c r="BL114" s="18" t="s">
        <v>138</v>
      </c>
      <c r="BM114" s="146" t="s">
        <v>401</v>
      </c>
    </row>
    <row r="115" spans="1:47" s="2" customFormat="1" ht="107.25">
      <c r="A115" s="30"/>
      <c r="B115" s="31"/>
      <c r="C115" s="30"/>
      <c r="D115" s="149" t="s">
        <v>142</v>
      </c>
      <c r="E115" s="30"/>
      <c r="F115" s="162" t="s">
        <v>206</v>
      </c>
      <c r="G115" s="30"/>
      <c r="H115" s="30"/>
      <c r="I115" s="30"/>
      <c r="J115" s="30"/>
      <c r="K115" s="30"/>
      <c r="L115" s="31"/>
      <c r="M115" s="163"/>
      <c r="N115" s="164"/>
      <c r="O115" s="51"/>
      <c r="P115" s="51"/>
      <c r="Q115" s="51"/>
      <c r="R115" s="51"/>
      <c r="S115" s="51"/>
      <c r="T115" s="52"/>
      <c r="U115" s="30"/>
      <c r="V115" s="30"/>
      <c r="W115" s="30"/>
      <c r="X115" s="30"/>
      <c r="Y115" s="30"/>
      <c r="Z115" s="30"/>
      <c r="AA115" s="30"/>
      <c r="AB115" s="30"/>
      <c r="AC115" s="30"/>
      <c r="AD115" s="30"/>
      <c r="AE115" s="30"/>
      <c r="AT115" s="18" t="s">
        <v>142</v>
      </c>
      <c r="AU115" s="18" t="s">
        <v>82</v>
      </c>
    </row>
    <row r="116" spans="1:65" s="2" customFormat="1" ht="24.2" customHeight="1">
      <c r="A116" s="30"/>
      <c r="B116" s="135"/>
      <c r="C116" s="136">
        <v>10</v>
      </c>
      <c r="D116" s="136" t="s">
        <v>136</v>
      </c>
      <c r="E116" s="137" t="s">
        <v>402</v>
      </c>
      <c r="F116" s="138" t="s">
        <v>403</v>
      </c>
      <c r="G116" s="139" t="s">
        <v>404</v>
      </c>
      <c r="H116" s="140">
        <v>1</v>
      </c>
      <c r="I116" s="141"/>
      <c r="J116" s="141">
        <f>ROUND(I116*H116,2)</f>
        <v>0</v>
      </c>
      <c r="K116" s="138" t="s">
        <v>137</v>
      </c>
      <c r="L116" s="31"/>
      <c r="M116" s="142" t="s">
        <v>3</v>
      </c>
      <c r="N116" s="143" t="s">
        <v>43</v>
      </c>
      <c r="O116" s="144">
        <v>0</v>
      </c>
      <c r="P116" s="144">
        <f>O116*H116</f>
        <v>0</v>
      </c>
      <c r="Q116" s="144">
        <v>0</v>
      </c>
      <c r="R116" s="144">
        <f>Q116*H116</f>
        <v>0</v>
      </c>
      <c r="S116" s="144">
        <v>0</v>
      </c>
      <c r="T116" s="145">
        <f>S116*H116</f>
        <v>0</v>
      </c>
      <c r="U116" s="30"/>
      <c r="V116" s="30"/>
      <c r="W116" s="30"/>
      <c r="X116" s="30"/>
      <c r="Y116" s="30"/>
      <c r="Z116" s="30"/>
      <c r="AA116" s="30"/>
      <c r="AB116" s="30"/>
      <c r="AC116" s="30"/>
      <c r="AD116" s="30"/>
      <c r="AE116" s="30"/>
      <c r="AR116" s="146" t="s">
        <v>138</v>
      </c>
      <c r="AT116" s="146" t="s">
        <v>136</v>
      </c>
      <c r="AU116" s="146" t="s">
        <v>82</v>
      </c>
      <c r="AY116" s="18" t="s">
        <v>133</v>
      </c>
      <c r="BE116" s="147">
        <f>IF(N116="základní",J116,0)</f>
        <v>0</v>
      </c>
      <c r="BF116" s="147">
        <f>IF(N116="snížená",J116,0)</f>
        <v>0</v>
      </c>
      <c r="BG116" s="147">
        <f>IF(N116="zákl. přenesená",J116,0)</f>
        <v>0</v>
      </c>
      <c r="BH116" s="147">
        <f>IF(N116="sníž. přenesená",J116,0)</f>
        <v>0</v>
      </c>
      <c r="BI116" s="147">
        <f>IF(N116="nulová",J116,0)</f>
        <v>0</v>
      </c>
      <c r="BJ116" s="18" t="s">
        <v>80</v>
      </c>
      <c r="BK116" s="147">
        <f>ROUND(I116*H116,2)</f>
        <v>0</v>
      </c>
      <c r="BL116" s="18" t="s">
        <v>138</v>
      </c>
      <c r="BM116" s="146" t="s">
        <v>405</v>
      </c>
    </row>
    <row r="117" spans="2:63" s="12" customFormat="1" ht="22.9" customHeight="1">
      <c r="B117" s="123"/>
      <c r="D117" s="124" t="s">
        <v>71</v>
      </c>
      <c r="E117" s="133" t="s">
        <v>207</v>
      </c>
      <c r="F117" s="133" t="s">
        <v>208</v>
      </c>
      <c r="J117" s="134">
        <f>BK117</f>
        <v>0</v>
      </c>
      <c r="L117" s="123"/>
      <c r="M117" s="127"/>
      <c r="N117" s="128"/>
      <c r="O117" s="128"/>
      <c r="P117" s="129">
        <f>SUM(P118:P119)</f>
        <v>0.303</v>
      </c>
      <c r="Q117" s="128"/>
      <c r="R117" s="129">
        <f>SUM(R118:R119)</f>
        <v>0</v>
      </c>
      <c r="S117" s="128"/>
      <c r="T117" s="130">
        <f>SUM(T118:T119)</f>
        <v>0</v>
      </c>
      <c r="AR117" s="124" t="s">
        <v>80</v>
      </c>
      <c r="AT117" s="131" t="s">
        <v>71</v>
      </c>
      <c r="AU117" s="131" t="s">
        <v>80</v>
      </c>
      <c r="AY117" s="124" t="s">
        <v>133</v>
      </c>
      <c r="BK117" s="132">
        <f>SUM(BK118:BK119)</f>
        <v>0</v>
      </c>
    </row>
    <row r="118" spans="1:65" s="2" customFormat="1" ht="49.15" customHeight="1">
      <c r="A118" s="30"/>
      <c r="B118" s="135"/>
      <c r="C118" s="136">
        <v>11</v>
      </c>
      <c r="D118" s="136" t="s">
        <v>136</v>
      </c>
      <c r="E118" s="137" t="s">
        <v>209</v>
      </c>
      <c r="F118" s="138" t="s">
        <v>210</v>
      </c>
      <c r="G118" s="139" t="s">
        <v>144</v>
      </c>
      <c r="H118" s="140">
        <v>0.075</v>
      </c>
      <c r="I118" s="141"/>
      <c r="J118" s="141">
        <f>ROUND(I118*H118,2)</f>
        <v>0</v>
      </c>
      <c r="K118" s="138" t="s">
        <v>141</v>
      </c>
      <c r="L118" s="31"/>
      <c r="M118" s="142" t="s">
        <v>3</v>
      </c>
      <c r="N118" s="143" t="s">
        <v>43</v>
      </c>
      <c r="O118" s="144">
        <v>4.04</v>
      </c>
      <c r="P118" s="144">
        <f>O118*H118</f>
        <v>0.303</v>
      </c>
      <c r="Q118" s="144">
        <v>0</v>
      </c>
      <c r="R118" s="144">
        <f>Q118*H118</f>
        <v>0</v>
      </c>
      <c r="S118" s="144">
        <v>0</v>
      </c>
      <c r="T118" s="145">
        <f>S118*H118</f>
        <v>0</v>
      </c>
      <c r="U118" s="30"/>
      <c r="V118" s="30"/>
      <c r="W118" s="30"/>
      <c r="X118" s="30"/>
      <c r="Y118" s="30"/>
      <c r="Z118" s="30"/>
      <c r="AA118" s="30"/>
      <c r="AB118" s="30"/>
      <c r="AC118" s="30"/>
      <c r="AD118" s="30"/>
      <c r="AE118" s="30"/>
      <c r="AR118" s="146" t="s">
        <v>138</v>
      </c>
      <c r="AT118" s="146" t="s">
        <v>136</v>
      </c>
      <c r="AU118" s="146" t="s">
        <v>82</v>
      </c>
      <c r="AY118" s="18" t="s">
        <v>133</v>
      </c>
      <c r="BE118" s="147">
        <f>IF(N118="základní",J118,0)</f>
        <v>0</v>
      </c>
      <c r="BF118" s="147">
        <f>IF(N118="snížená",J118,0)</f>
        <v>0</v>
      </c>
      <c r="BG118" s="147">
        <f>IF(N118="zákl. přenesená",J118,0)</f>
        <v>0</v>
      </c>
      <c r="BH118" s="147">
        <f>IF(N118="sníž. přenesená",J118,0)</f>
        <v>0</v>
      </c>
      <c r="BI118" s="147">
        <f>IF(N118="nulová",J118,0)</f>
        <v>0</v>
      </c>
      <c r="BJ118" s="18" t="s">
        <v>80</v>
      </c>
      <c r="BK118" s="147">
        <f>ROUND(I118*H118,2)</f>
        <v>0</v>
      </c>
      <c r="BL118" s="18" t="s">
        <v>138</v>
      </c>
      <c r="BM118" s="146" t="s">
        <v>406</v>
      </c>
    </row>
    <row r="119" spans="1:47" s="2" customFormat="1" ht="87.75">
      <c r="A119" s="30"/>
      <c r="B119" s="31"/>
      <c r="C119" s="30"/>
      <c r="D119" s="149" t="s">
        <v>142</v>
      </c>
      <c r="E119" s="30"/>
      <c r="F119" s="162" t="s">
        <v>212</v>
      </c>
      <c r="G119" s="30"/>
      <c r="H119" s="30"/>
      <c r="I119" s="30"/>
      <c r="J119" s="30"/>
      <c r="K119" s="30"/>
      <c r="L119" s="31"/>
      <c r="M119" s="163"/>
      <c r="N119" s="164"/>
      <c r="O119" s="51"/>
      <c r="P119" s="51"/>
      <c r="Q119" s="51"/>
      <c r="R119" s="51"/>
      <c r="S119" s="51"/>
      <c r="T119" s="52"/>
      <c r="U119" s="30"/>
      <c r="V119" s="30"/>
      <c r="W119" s="30"/>
      <c r="X119" s="30"/>
      <c r="Y119" s="30"/>
      <c r="Z119" s="30"/>
      <c r="AA119" s="30"/>
      <c r="AB119" s="30"/>
      <c r="AC119" s="30"/>
      <c r="AD119" s="30"/>
      <c r="AE119" s="30"/>
      <c r="AT119" s="18" t="s">
        <v>142</v>
      </c>
      <c r="AU119" s="18" t="s">
        <v>82</v>
      </c>
    </row>
    <row r="120" spans="2:63" s="12" customFormat="1" ht="25.9" customHeight="1">
      <c r="B120" s="123"/>
      <c r="D120" s="124" t="s">
        <v>71</v>
      </c>
      <c r="E120" s="125" t="s">
        <v>213</v>
      </c>
      <c r="F120" s="125" t="s">
        <v>214</v>
      </c>
      <c r="J120" s="126">
        <f>J121+J133+J150+J176</f>
        <v>0</v>
      </c>
      <c r="L120" s="123"/>
      <c r="M120" s="127"/>
      <c r="N120" s="128"/>
      <c r="O120" s="128"/>
      <c r="P120" s="129" t="e">
        <f>P121+P133+P150+#REF!</f>
        <v>#REF!</v>
      </c>
      <c r="Q120" s="128"/>
      <c r="R120" s="129" t="e">
        <f>R121+R133+R150+#REF!</f>
        <v>#REF!</v>
      </c>
      <c r="S120" s="128"/>
      <c r="T120" s="130" t="e">
        <f>T121+T133+T150+#REF!</f>
        <v>#REF!</v>
      </c>
      <c r="AR120" s="124" t="s">
        <v>82</v>
      </c>
      <c r="AT120" s="131" t="s">
        <v>71</v>
      </c>
      <c r="AU120" s="131" t="s">
        <v>72</v>
      </c>
      <c r="AY120" s="124" t="s">
        <v>133</v>
      </c>
      <c r="BK120" s="132" t="e">
        <f>BK121+BK133+BK150+#REF!</f>
        <v>#REF!</v>
      </c>
    </row>
    <row r="121" spans="2:63" s="12" customFormat="1" ht="22.9" customHeight="1">
      <c r="B121" s="123"/>
      <c r="D121" s="124" t="s">
        <v>71</v>
      </c>
      <c r="E121" s="133" t="s">
        <v>407</v>
      </c>
      <c r="F121" s="133" t="s">
        <v>408</v>
      </c>
      <c r="J121" s="134">
        <f>BK121</f>
        <v>0</v>
      </c>
      <c r="L121" s="123"/>
      <c r="M121" s="127"/>
      <c r="N121" s="128"/>
      <c r="O121" s="128"/>
      <c r="P121" s="129">
        <f>SUM(P122:P132)</f>
        <v>3.4896</v>
      </c>
      <c r="Q121" s="128"/>
      <c r="R121" s="129">
        <f>SUM(R122:R132)</f>
        <v>0.001728</v>
      </c>
      <c r="S121" s="128"/>
      <c r="T121" s="130">
        <f>SUM(T122:T132)</f>
        <v>0</v>
      </c>
      <c r="AR121" s="124" t="s">
        <v>82</v>
      </c>
      <c r="AT121" s="131" t="s">
        <v>71</v>
      </c>
      <c r="AU121" s="131" t="s">
        <v>80</v>
      </c>
      <c r="AY121" s="124" t="s">
        <v>133</v>
      </c>
      <c r="BK121" s="132">
        <f>SUM(BK122:BK132)</f>
        <v>0</v>
      </c>
    </row>
    <row r="122" spans="1:65" s="2" customFormat="1" ht="14.45" customHeight="1">
      <c r="A122" s="30"/>
      <c r="B122" s="135"/>
      <c r="C122" s="136">
        <v>12</v>
      </c>
      <c r="D122" s="136" t="s">
        <v>136</v>
      </c>
      <c r="E122" s="137" t="s">
        <v>409</v>
      </c>
      <c r="F122" s="138" t="s">
        <v>410</v>
      </c>
      <c r="G122" s="139" t="s">
        <v>151</v>
      </c>
      <c r="H122" s="140">
        <f>H125</f>
        <v>3.5999999999999996</v>
      </c>
      <c r="I122" s="141"/>
      <c r="J122" s="141">
        <f>ROUND(I122*H122,2)</f>
        <v>0</v>
      </c>
      <c r="K122" s="138" t="s">
        <v>141</v>
      </c>
      <c r="L122" s="31"/>
      <c r="M122" s="142" t="s">
        <v>3</v>
      </c>
      <c r="N122" s="143" t="s">
        <v>43</v>
      </c>
      <c r="O122" s="144">
        <v>0.728</v>
      </c>
      <c r="P122" s="144">
        <f>O122*H122</f>
        <v>2.6207999999999996</v>
      </c>
      <c r="Q122" s="144">
        <v>0.00048</v>
      </c>
      <c r="R122" s="144">
        <f>Q122*H122</f>
        <v>0.001728</v>
      </c>
      <c r="S122" s="144">
        <v>0</v>
      </c>
      <c r="T122" s="145">
        <f>S122*H122</f>
        <v>0</v>
      </c>
      <c r="U122" s="30"/>
      <c r="V122" s="30"/>
      <c r="W122" s="30"/>
      <c r="X122" s="30"/>
      <c r="Y122" s="30"/>
      <c r="Z122" s="30"/>
      <c r="AA122" s="30"/>
      <c r="AB122" s="30"/>
      <c r="AC122" s="30"/>
      <c r="AD122" s="30"/>
      <c r="AE122" s="30"/>
      <c r="AR122" s="146" t="s">
        <v>154</v>
      </c>
      <c r="AT122" s="146" t="s">
        <v>136</v>
      </c>
      <c r="AU122" s="146" t="s">
        <v>82</v>
      </c>
      <c r="AY122" s="18" t="s">
        <v>133</v>
      </c>
      <c r="BE122" s="147">
        <f>IF(N122="základní",J122,0)</f>
        <v>0</v>
      </c>
      <c r="BF122" s="147">
        <f>IF(N122="snížená",J122,0)</f>
        <v>0</v>
      </c>
      <c r="BG122" s="147">
        <f>IF(N122="zákl. přenesená",J122,0)</f>
        <v>0</v>
      </c>
      <c r="BH122" s="147">
        <f>IF(N122="sníž. přenesená",J122,0)</f>
        <v>0</v>
      </c>
      <c r="BI122" s="147">
        <f>IF(N122="nulová",J122,0)</f>
        <v>0</v>
      </c>
      <c r="BJ122" s="18" t="s">
        <v>80</v>
      </c>
      <c r="BK122" s="147">
        <f>ROUND(I122*H122,2)</f>
        <v>0</v>
      </c>
      <c r="BL122" s="18" t="s">
        <v>154</v>
      </c>
      <c r="BM122" s="146" t="s">
        <v>411</v>
      </c>
    </row>
    <row r="123" spans="1:47" s="2" customFormat="1" ht="68.25">
      <c r="A123" s="30"/>
      <c r="B123" s="31"/>
      <c r="C123" s="30"/>
      <c r="D123" s="149" t="s">
        <v>142</v>
      </c>
      <c r="E123" s="30"/>
      <c r="F123" s="162" t="s">
        <v>412</v>
      </c>
      <c r="G123" s="30"/>
      <c r="H123" s="30"/>
      <c r="I123" s="30"/>
      <c r="J123" s="30"/>
      <c r="K123" s="30"/>
      <c r="L123" s="31"/>
      <c r="M123" s="163"/>
      <c r="N123" s="164"/>
      <c r="O123" s="51"/>
      <c r="P123" s="51"/>
      <c r="Q123" s="51"/>
      <c r="R123" s="51"/>
      <c r="S123" s="51"/>
      <c r="T123" s="52"/>
      <c r="U123" s="30"/>
      <c r="V123" s="30"/>
      <c r="W123" s="30"/>
      <c r="X123" s="30"/>
      <c r="Y123" s="30"/>
      <c r="Z123" s="30"/>
      <c r="AA123" s="30"/>
      <c r="AB123" s="30"/>
      <c r="AC123" s="30"/>
      <c r="AD123" s="30"/>
      <c r="AE123" s="30"/>
      <c r="AT123" s="18" t="s">
        <v>142</v>
      </c>
      <c r="AU123" s="18" t="s">
        <v>82</v>
      </c>
    </row>
    <row r="124" spans="2:51" s="13" customFormat="1" ht="12">
      <c r="B124" s="148"/>
      <c r="D124" s="149" t="s">
        <v>139</v>
      </c>
      <c r="E124" s="150" t="s">
        <v>3</v>
      </c>
      <c r="F124" s="151" t="s">
        <v>903</v>
      </c>
      <c r="H124" s="150" t="s">
        <v>3</v>
      </c>
      <c r="L124" s="148"/>
      <c r="M124" s="152"/>
      <c r="N124" s="153"/>
      <c r="O124" s="153"/>
      <c r="P124" s="153"/>
      <c r="Q124" s="153"/>
      <c r="R124" s="153"/>
      <c r="S124" s="153"/>
      <c r="T124" s="154"/>
      <c r="AT124" s="150" t="s">
        <v>139</v>
      </c>
      <c r="AU124" s="150" t="s">
        <v>82</v>
      </c>
      <c r="AV124" s="13" t="s">
        <v>80</v>
      </c>
      <c r="AW124" s="13" t="s">
        <v>34</v>
      </c>
      <c r="AX124" s="13" t="s">
        <v>72</v>
      </c>
      <c r="AY124" s="150" t="s">
        <v>133</v>
      </c>
    </row>
    <row r="125" spans="2:51" s="14" customFormat="1" ht="12">
      <c r="B125" s="155"/>
      <c r="D125" s="149" t="s">
        <v>139</v>
      </c>
      <c r="E125" s="156" t="s">
        <v>3</v>
      </c>
      <c r="F125" s="157" t="s">
        <v>1002</v>
      </c>
      <c r="H125" s="158">
        <f>(0.5+0.5+1+1)*1.2</f>
        <v>3.5999999999999996</v>
      </c>
      <c r="L125" s="155"/>
      <c r="M125" s="159"/>
      <c r="N125" s="160"/>
      <c r="O125" s="160"/>
      <c r="P125" s="160"/>
      <c r="Q125" s="160"/>
      <c r="R125" s="160"/>
      <c r="S125" s="160"/>
      <c r="T125" s="161"/>
      <c r="AT125" s="156" t="s">
        <v>139</v>
      </c>
      <c r="AU125" s="156" t="s">
        <v>82</v>
      </c>
      <c r="AV125" s="14" t="s">
        <v>82</v>
      </c>
      <c r="AW125" s="14" t="s">
        <v>34</v>
      </c>
      <c r="AX125" s="14" t="s">
        <v>80</v>
      </c>
      <c r="AY125" s="156" t="s">
        <v>133</v>
      </c>
    </row>
    <row r="126" spans="1:65" s="2" customFormat="1" ht="24.2" customHeight="1">
      <c r="A126" s="30"/>
      <c r="B126" s="135"/>
      <c r="C126" s="136">
        <v>13</v>
      </c>
      <c r="D126" s="136" t="s">
        <v>136</v>
      </c>
      <c r="E126" s="137" t="s">
        <v>413</v>
      </c>
      <c r="F126" s="138" t="s">
        <v>414</v>
      </c>
      <c r="G126" s="139" t="s">
        <v>140</v>
      </c>
      <c r="H126" s="140">
        <v>4</v>
      </c>
      <c r="I126" s="141"/>
      <c r="J126" s="141">
        <f>ROUND(I126*H126,2)</f>
        <v>0</v>
      </c>
      <c r="K126" s="138" t="s">
        <v>141</v>
      </c>
      <c r="L126" s="31"/>
      <c r="M126" s="142" t="s">
        <v>3</v>
      </c>
      <c r="N126" s="143" t="s">
        <v>43</v>
      </c>
      <c r="O126" s="144">
        <v>0.174</v>
      </c>
      <c r="P126" s="144">
        <f>O126*H126</f>
        <v>0.696</v>
      </c>
      <c r="Q126" s="144">
        <v>0</v>
      </c>
      <c r="R126" s="144">
        <f>Q126*H126</f>
        <v>0</v>
      </c>
      <c r="S126" s="144">
        <v>0</v>
      </c>
      <c r="T126" s="145">
        <f>S126*H126</f>
        <v>0</v>
      </c>
      <c r="U126" s="30"/>
      <c r="V126" s="30"/>
      <c r="W126" s="30"/>
      <c r="X126" s="30"/>
      <c r="Y126" s="30"/>
      <c r="Z126" s="30"/>
      <c r="AA126" s="30"/>
      <c r="AB126" s="30"/>
      <c r="AC126" s="30"/>
      <c r="AD126" s="30"/>
      <c r="AE126" s="30"/>
      <c r="AR126" s="146" t="s">
        <v>154</v>
      </c>
      <c r="AT126" s="146" t="s">
        <v>136</v>
      </c>
      <c r="AU126" s="146" t="s">
        <v>82</v>
      </c>
      <c r="AY126" s="18" t="s">
        <v>133</v>
      </c>
      <c r="BE126" s="147">
        <f>IF(N126="základní",J126,0)</f>
        <v>0</v>
      </c>
      <c r="BF126" s="147">
        <f>IF(N126="snížená",J126,0)</f>
        <v>0</v>
      </c>
      <c r="BG126" s="147">
        <f>IF(N126="zákl. přenesená",J126,0)</f>
        <v>0</v>
      </c>
      <c r="BH126" s="147">
        <f>IF(N126="sníž. přenesená",J126,0)</f>
        <v>0</v>
      </c>
      <c r="BI126" s="147">
        <f>IF(N126="nulová",J126,0)</f>
        <v>0</v>
      </c>
      <c r="BJ126" s="18" t="s">
        <v>80</v>
      </c>
      <c r="BK126" s="147">
        <f>ROUND(I126*H126,2)</f>
        <v>0</v>
      </c>
      <c r="BL126" s="18" t="s">
        <v>154</v>
      </c>
      <c r="BM126" s="146" t="s">
        <v>415</v>
      </c>
    </row>
    <row r="127" spans="1:47" s="2" customFormat="1" ht="58.5">
      <c r="A127" s="30"/>
      <c r="B127" s="31"/>
      <c r="C127" s="30"/>
      <c r="D127" s="149" t="s">
        <v>142</v>
      </c>
      <c r="E127" s="30"/>
      <c r="F127" s="162" t="s">
        <v>416</v>
      </c>
      <c r="G127" s="30"/>
      <c r="H127" s="30"/>
      <c r="I127" s="30"/>
      <c r="J127" s="30"/>
      <c r="K127" s="30"/>
      <c r="L127" s="31"/>
      <c r="M127" s="163"/>
      <c r="N127" s="164"/>
      <c r="O127" s="51"/>
      <c r="P127" s="51"/>
      <c r="Q127" s="51"/>
      <c r="R127" s="51"/>
      <c r="S127" s="51"/>
      <c r="T127" s="52"/>
      <c r="U127" s="30"/>
      <c r="V127" s="30"/>
      <c r="W127" s="30"/>
      <c r="X127" s="30"/>
      <c r="Y127" s="30"/>
      <c r="Z127" s="30"/>
      <c r="AA127" s="30"/>
      <c r="AB127" s="30"/>
      <c r="AC127" s="30"/>
      <c r="AD127" s="30"/>
      <c r="AE127" s="30"/>
      <c r="AT127" s="18" t="s">
        <v>142</v>
      </c>
      <c r="AU127" s="18" t="s">
        <v>82</v>
      </c>
    </row>
    <row r="128" spans="1:65" s="2" customFormat="1" ht="24.2" customHeight="1">
      <c r="A128" s="30"/>
      <c r="B128" s="135"/>
      <c r="C128" s="136">
        <v>14</v>
      </c>
      <c r="D128" s="136" t="s">
        <v>136</v>
      </c>
      <c r="E128" s="137" t="s">
        <v>417</v>
      </c>
      <c r="F128" s="138" t="s">
        <v>418</v>
      </c>
      <c r="G128" s="139" t="s">
        <v>151</v>
      </c>
      <c r="H128" s="140">
        <f>H122</f>
        <v>3.5999999999999996</v>
      </c>
      <c r="I128" s="141"/>
      <c r="J128" s="141">
        <f>ROUND(I128*H128,2)</f>
        <v>0</v>
      </c>
      <c r="K128" s="138" t="s">
        <v>141</v>
      </c>
      <c r="L128" s="31"/>
      <c r="M128" s="142" t="s">
        <v>3</v>
      </c>
      <c r="N128" s="143" t="s">
        <v>43</v>
      </c>
      <c r="O128" s="144">
        <v>0.048</v>
      </c>
      <c r="P128" s="144">
        <f>O128*H128</f>
        <v>0.17279999999999998</v>
      </c>
      <c r="Q128" s="144">
        <v>0</v>
      </c>
      <c r="R128" s="144">
        <f>Q128*H128</f>
        <v>0</v>
      </c>
      <c r="S128" s="144">
        <v>0</v>
      </c>
      <c r="T128" s="145">
        <f>S128*H128</f>
        <v>0</v>
      </c>
      <c r="U128" s="30"/>
      <c r="V128" s="30"/>
      <c r="W128" s="30"/>
      <c r="X128" s="30"/>
      <c r="Y128" s="30"/>
      <c r="Z128" s="30"/>
      <c r="AA128" s="30"/>
      <c r="AB128" s="30"/>
      <c r="AC128" s="30"/>
      <c r="AD128" s="30"/>
      <c r="AE128" s="30"/>
      <c r="AR128" s="146" t="s">
        <v>154</v>
      </c>
      <c r="AT128" s="146" t="s">
        <v>136</v>
      </c>
      <c r="AU128" s="146" t="s">
        <v>82</v>
      </c>
      <c r="AY128" s="18" t="s">
        <v>133</v>
      </c>
      <c r="BE128" s="147">
        <f>IF(N128="základní",J128,0)</f>
        <v>0</v>
      </c>
      <c r="BF128" s="147">
        <f>IF(N128="snížená",J128,0)</f>
        <v>0</v>
      </c>
      <c r="BG128" s="147">
        <f>IF(N128="zákl. přenesená",J128,0)</f>
        <v>0</v>
      </c>
      <c r="BH128" s="147">
        <f>IF(N128="sníž. přenesená",J128,0)</f>
        <v>0</v>
      </c>
      <c r="BI128" s="147">
        <f>IF(N128="nulová",J128,0)</f>
        <v>0</v>
      </c>
      <c r="BJ128" s="18" t="s">
        <v>80</v>
      </c>
      <c r="BK128" s="147">
        <f>ROUND(I128*H128,2)</f>
        <v>0</v>
      </c>
      <c r="BL128" s="18" t="s">
        <v>154</v>
      </c>
      <c r="BM128" s="146" t="s">
        <v>419</v>
      </c>
    </row>
    <row r="129" spans="1:65" s="2" customFormat="1" ht="37.9" customHeight="1">
      <c r="A129" s="30"/>
      <c r="B129" s="135"/>
      <c r="C129" s="136">
        <v>15</v>
      </c>
      <c r="D129" s="136" t="s">
        <v>136</v>
      </c>
      <c r="E129" s="137" t="s">
        <v>420</v>
      </c>
      <c r="F129" s="138" t="s">
        <v>421</v>
      </c>
      <c r="G129" s="139" t="s">
        <v>229</v>
      </c>
      <c r="H129" s="140">
        <f>SUM(J122:J128)/100</f>
        <v>0</v>
      </c>
      <c r="I129" s="141"/>
      <c r="J129" s="141">
        <f>ROUND(I129*H129,2)</f>
        <v>0</v>
      </c>
      <c r="K129" s="138" t="s">
        <v>141</v>
      </c>
      <c r="L129" s="31"/>
      <c r="M129" s="142" t="s">
        <v>3</v>
      </c>
      <c r="N129" s="143" t="s">
        <v>43</v>
      </c>
      <c r="O129" s="144">
        <v>0</v>
      </c>
      <c r="P129" s="144">
        <f>O129*H129</f>
        <v>0</v>
      </c>
      <c r="Q129" s="144">
        <v>0</v>
      </c>
      <c r="R129" s="144">
        <f>Q129*H129</f>
        <v>0</v>
      </c>
      <c r="S129" s="144">
        <v>0</v>
      </c>
      <c r="T129" s="145">
        <f>S129*H129</f>
        <v>0</v>
      </c>
      <c r="U129" s="30"/>
      <c r="V129" s="30"/>
      <c r="W129" s="30"/>
      <c r="X129" s="30"/>
      <c r="Y129" s="30"/>
      <c r="Z129" s="30"/>
      <c r="AA129" s="30"/>
      <c r="AB129" s="30"/>
      <c r="AC129" s="30"/>
      <c r="AD129" s="30"/>
      <c r="AE129" s="30"/>
      <c r="AR129" s="146" t="s">
        <v>154</v>
      </c>
      <c r="AT129" s="146" t="s">
        <v>136</v>
      </c>
      <c r="AU129" s="146" t="s">
        <v>82</v>
      </c>
      <c r="AY129" s="18" t="s">
        <v>133</v>
      </c>
      <c r="BE129" s="147">
        <f>IF(N129="základní",J129,0)</f>
        <v>0</v>
      </c>
      <c r="BF129" s="147">
        <f>IF(N129="snížená",J129,0)</f>
        <v>0</v>
      </c>
      <c r="BG129" s="147">
        <f>IF(N129="zákl. přenesená",J129,0)</f>
        <v>0</v>
      </c>
      <c r="BH129" s="147">
        <f>IF(N129="sníž. přenesená",J129,0)</f>
        <v>0</v>
      </c>
      <c r="BI129" s="147">
        <f>IF(N129="nulová",J129,0)</f>
        <v>0</v>
      </c>
      <c r="BJ129" s="18" t="s">
        <v>80</v>
      </c>
      <c r="BK129" s="147">
        <f>ROUND(I129*H129,2)</f>
        <v>0</v>
      </c>
      <c r="BL129" s="18" t="s">
        <v>154</v>
      </c>
      <c r="BM129" s="146" t="s">
        <v>422</v>
      </c>
    </row>
    <row r="130" spans="1:47" s="2" customFormat="1" ht="126.75">
      <c r="A130" s="30"/>
      <c r="B130" s="31"/>
      <c r="C130" s="30"/>
      <c r="D130" s="149" t="s">
        <v>142</v>
      </c>
      <c r="E130" s="30"/>
      <c r="F130" s="162" t="s">
        <v>261</v>
      </c>
      <c r="G130" s="30"/>
      <c r="H130" s="30"/>
      <c r="I130" s="30"/>
      <c r="J130" s="30"/>
      <c r="K130" s="30"/>
      <c r="L130" s="31"/>
      <c r="M130" s="163"/>
      <c r="N130" s="164"/>
      <c r="O130" s="51"/>
      <c r="P130" s="51"/>
      <c r="Q130" s="51"/>
      <c r="R130" s="51"/>
      <c r="S130" s="51"/>
      <c r="T130" s="52"/>
      <c r="U130" s="30"/>
      <c r="V130" s="30"/>
      <c r="W130" s="30"/>
      <c r="X130" s="30"/>
      <c r="Y130" s="30"/>
      <c r="Z130" s="30"/>
      <c r="AA130" s="30"/>
      <c r="AB130" s="30"/>
      <c r="AC130" s="30"/>
      <c r="AD130" s="30"/>
      <c r="AE130" s="30"/>
      <c r="AT130" s="18" t="s">
        <v>142</v>
      </c>
      <c r="AU130" s="18" t="s">
        <v>82</v>
      </c>
    </row>
    <row r="131" spans="1:65" s="2" customFormat="1" ht="49.15" customHeight="1">
      <c r="A131" s="30"/>
      <c r="B131" s="135"/>
      <c r="C131" s="136">
        <v>16</v>
      </c>
      <c r="D131" s="136" t="s">
        <v>136</v>
      </c>
      <c r="E131" s="137" t="s">
        <v>423</v>
      </c>
      <c r="F131" s="138" t="s">
        <v>424</v>
      </c>
      <c r="G131" s="139" t="s">
        <v>229</v>
      </c>
      <c r="H131" s="140">
        <f>H129</f>
        <v>0</v>
      </c>
      <c r="I131" s="141"/>
      <c r="J131" s="141">
        <f>ROUND(I131*H131,2)</f>
        <v>0</v>
      </c>
      <c r="K131" s="138" t="s">
        <v>141</v>
      </c>
      <c r="L131" s="31"/>
      <c r="M131" s="142" t="s">
        <v>3</v>
      </c>
      <c r="N131" s="143" t="s">
        <v>43</v>
      </c>
      <c r="O131" s="144">
        <v>0</v>
      </c>
      <c r="P131" s="144">
        <f>O131*H131</f>
        <v>0</v>
      </c>
      <c r="Q131" s="144">
        <v>0</v>
      </c>
      <c r="R131" s="144">
        <f>Q131*H131</f>
        <v>0</v>
      </c>
      <c r="S131" s="144">
        <v>0</v>
      </c>
      <c r="T131" s="145">
        <f>S131*H131</f>
        <v>0</v>
      </c>
      <c r="U131" s="30"/>
      <c r="V131" s="30"/>
      <c r="W131" s="30"/>
      <c r="X131" s="30"/>
      <c r="Y131" s="30"/>
      <c r="Z131" s="30"/>
      <c r="AA131" s="30"/>
      <c r="AB131" s="30"/>
      <c r="AC131" s="30"/>
      <c r="AD131" s="30"/>
      <c r="AE131" s="30"/>
      <c r="AR131" s="146" t="s">
        <v>154</v>
      </c>
      <c r="AT131" s="146" t="s">
        <v>136</v>
      </c>
      <c r="AU131" s="146" t="s">
        <v>82</v>
      </c>
      <c r="AY131" s="18" t="s">
        <v>133</v>
      </c>
      <c r="BE131" s="147">
        <f>IF(N131="základní",J131,0)</f>
        <v>0</v>
      </c>
      <c r="BF131" s="147">
        <f>IF(N131="snížená",J131,0)</f>
        <v>0</v>
      </c>
      <c r="BG131" s="147">
        <f>IF(N131="zákl. přenesená",J131,0)</f>
        <v>0</v>
      </c>
      <c r="BH131" s="147">
        <f>IF(N131="sníž. přenesená",J131,0)</f>
        <v>0</v>
      </c>
      <c r="BI131" s="147">
        <f>IF(N131="nulová",J131,0)</f>
        <v>0</v>
      </c>
      <c r="BJ131" s="18" t="s">
        <v>80</v>
      </c>
      <c r="BK131" s="147">
        <f>ROUND(I131*H131,2)</f>
        <v>0</v>
      </c>
      <c r="BL131" s="18" t="s">
        <v>154</v>
      </c>
      <c r="BM131" s="146" t="s">
        <v>425</v>
      </c>
    </row>
    <row r="132" spans="1:47" s="2" customFormat="1" ht="126.75">
      <c r="A132" s="30"/>
      <c r="B132" s="31"/>
      <c r="C132" s="30"/>
      <c r="D132" s="149" t="s">
        <v>142</v>
      </c>
      <c r="E132" s="30"/>
      <c r="F132" s="162" t="s">
        <v>261</v>
      </c>
      <c r="G132" s="30"/>
      <c r="H132" s="30"/>
      <c r="I132" s="30"/>
      <c r="J132" s="30"/>
      <c r="K132" s="30"/>
      <c r="L132" s="31"/>
      <c r="M132" s="163"/>
      <c r="N132" s="164"/>
      <c r="O132" s="51"/>
      <c r="P132" s="51"/>
      <c r="Q132" s="51"/>
      <c r="R132" s="51"/>
      <c r="S132" s="51"/>
      <c r="T132" s="52"/>
      <c r="U132" s="30"/>
      <c r="V132" s="30"/>
      <c r="W132" s="30"/>
      <c r="X132" s="30"/>
      <c r="Y132" s="30"/>
      <c r="Z132" s="30"/>
      <c r="AA132" s="30"/>
      <c r="AB132" s="30"/>
      <c r="AC132" s="30"/>
      <c r="AD132" s="30"/>
      <c r="AE132" s="30"/>
      <c r="AT132" s="18" t="s">
        <v>142</v>
      </c>
      <c r="AU132" s="18" t="s">
        <v>82</v>
      </c>
    </row>
    <row r="133" spans="2:63" s="12" customFormat="1" ht="22.9" customHeight="1">
      <c r="B133" s="123"/>
      <c r="D133" s="124" t="s">
        <v>71</v>
      </c>
      <c r="E133" s="133" t="s">
        <v>426</v>
      </c>
      <c r="F133" s="133" t="s">
        <v>427</v>
      </c>
      <c r="J133" s="134">
        <f>BK133</f>
        <v>0</v>
      </c>
      <c r="L133" s="123"/>
      <c r="M133" s="127"/>
      <c r="N133" s="128"/>
      <c r="O133" s="128"/>
      <c r="P133" s="129">
        <f>SUM(P134:P149)</f>
        <v>7.9752</v>
      </c>
      <c r="Q133" s="128"/>
      <c r="R133" s="129">
        <f>SUM(R134:R149)</f>
        <v>0.01008</v>
      </c>
      <c r="S133" s="128"/>
      <c r="T133" s="130">
        <f>SUM(T134:T149)</f>
        <v>0</v>
      </c>
      <c r="AR133" s="124" t="s">
        <v>82</v>
      </c>
      <c r="AT133" s="131" t="s">
        <v>71</v>
      </c>
      <c r="AU133" s="131" t="s">
        <v>80</v>
      </c>
      <c r="AY133" s="124" t="s">
        <v>133</v>
      </c>
      <c r="BK133" s="132">
        <f>SUM(BK134:BK149)</f>
        <v>0</v>
      </c>
    </row>
    <row r="134" spans="1:65" s="2" customFormat="1" ht="24.2" customHeight="1">
      <c r="A134" s="30"/>
      <c r="B134" s="135"/>
      <c r="C134" s="136">
        <v>17</v>
      </c>
      <c r="D134" s="136" t="s">
        <v>136</v>
      </c>
      <c r="E134" s="137" t="s">
        <v>428</v>
      </c>
      <c r="F134" s="138" t="s">
        <v>429</v>
      </c>
      <c r="G134" s="139" t="s">
        <v>151</v>
      </c>
      <c r="H134" s="140">
        <f>H136</f>
        <v>7.199999999999999</v>
      </c>
      <c r="I134" s="141"/>
      <c r="J134" s="141">
        <f>ROUND(I134*H134,2)</f>
        <v>0</v>
      </c>
      <c r="K134" s="138" t="s">
        <v>141</v>
      </c>
      <c r="L134" s="31"/>
      <c r="M134" s="142" t="s">
        <v>3</v>
      </c>
      <c r="N134" s="143" t="s">
        <v>43</v>
      </c>
      <c r="O134" s="144">
        <v>0.556</v>
      </c>
      <c r="P134" s="144">
        <f>O134*H134</f>
        <v>4.0032</v>
      </c>
      <c r="Q134" s="144">
        <v>0.00051</v>
      </c>
      <c r="R134" s="144">
        <f>Q134*H134</f>
        <v>0.003672</v>
      </c>
      <c r="S134" s="144">
        <v>0</v>
      </c>
      <c r="T134" s="145">
        <f>S134*H134</f>
        <v>0</v>
      </c>
      <c r="U134" s="30"/>
      <c r="V134" s="30"/>
      <c r="W134" s="30"/>
      <c r="X134" s="30"/>
      <c r="Y134" s="30"/>
      <c r="Z134" s="30"/>
      <c r="AA134" s="30"/>
      <c r="AB134" s="30"/>
      <c r="AC134" s="30"/>
      <c r="AD134" s="30"/>
      <c r="AE134" s="30"/>
      <c r="AR134" s="146" t="s">
        <v>154</v>
      </c>
      <c r="AT134" s="146" t="s">
        <v>136</v>
      </c>
      <c r="AU134" s="146" t="s">
        <v>82</v>
      </c>
      <c r="AY134" s="18" t="s">
        <v>133</v>
      </c>
      <c r="BE134" s="147">
        <f>IF(N134="základní",J134,0)</f>
        <v>0</v>
      </c>
      <c r="BF134" s="147">
        <f>IF(N134="snížená",J134,0)</f>
        <v>0</v>
      </c>
      <c r="BG134" s="147">
        <f>IF(N134="zákl. přenesená",J134,0)</f>
        <v>0</v>
      </c>
      <c r="BH134" s="147">
        <f>IF(N134="sníž. přenesená",J134,0)</f>
        <v>0</v>
      </c>
      <c r="BI134" s="147">
        <f>IF(N134="nulová",J134,0)</f>
        <v>0</v>
      </c>
      <c r="BJ134" s="18" t="s">
        <v>80</v>
      </c>
      <c r="BK134" s="147">
        <f>ROUND(I134*H134,2)</f>
        <v>0</v>
      </c>
      <c r="BL134" s="18" t="s">
        <v>154</v>
      </c>
      <c r="BM134" s="146" t="s">
        <v>430</v>
      </c>
    </row>
    <row r="135" spans="2:51" s="13" customFormat="1" ht="12">
      <c r="B135" s="148"/>
      <c r="D135" s="149" t="s">
        <v>139</v>
      </c>
      <c r="E135" s="150" t="s">
        <v>3</v>
      </c>
      <c r="F135" s="151" t="s">
        <v>905</v>
      </c>
      <c r="H135" s="150" t="s">
        <v>3</v>
      </c>
      <c r="L135" s="148"/>
      <c r="M135" s="152"/>
      <c r="N135" s="153"/>
      <c r="O135" s="153"/>
      <c r="P135" s="153"/>
      <c r="Q135" s="153"/>
      <c r="R135" s="153"/>
      <c r="S135" s="153"/>
      <c r="T135" s="154"/>
      <c r="AT135" s="150" t="s">
        <v>139</v>
      </c>
      <c r="AU135" s="150" t="s">
        <v>82</v>
      </c>
      <c r="AV135" s="13" t="s">
        <v>80</v>
      </c>
      <c r="AW135" s="13" t="s">
        <v>34</v>
      </c>
      <c r="AX135" s="13" t="s">
        <v>72</v>
      </c>
      <c r="AY135" s="150" t="s">
        <v>133</v>
      </c>
    </row>
    <row r="136" spans="2:51" s="14" customFormat="1" ht="12">
      <c r="B136" s="155"/>
      <c r="D136" s="149" t="s">
        <v>139</v>
      </c>
      <c r="E136" s="156" t="s">
        <v>3</v>
      </c>
      <c r="F136" s="157" t="s">
        <v>1003</v>
      </c>
      <c r="H136" s="158">
        <f>(1+1+0.5+0.5+0.5+0.5+1+1)*1.2</f>
        <v>7.199999999999999</v>
      </c>
      <c r="L136" s="155"/>
      <c r="M136" s="159"/>
      <c r="N136" s="160"/>
      <c r="O136" s="160"/>
      <c r="P136" s="160"/>
      <c r="Q136" s="160"/>
      <c r="R136" s="160"/>
      <c r="S136" s="160"/>
      <c r="T136" s="161"/>
      <c r="AT136" s="156" t="s">
        <v>139</v>
      </c>
      <c r="AU136" s="156" t="s">
        <v>82</v>
      </c>
      <c r="AV136" s="14" t="s">
        <v>82</v>
      </c>
      <c r="AW136" s="14" t="s">
        <v>34</v>
      </c>
      <c r="AX136" s="14" t="s">
        <v>80</v>
      </c>
      <c r="AY136" s="156" t="s">
        <v>133</v>
      </c>
    </row>
    <row r="137" spans="1:65" s="2" customFormat="1" ht="49.15" customHeight="1">
      <c r="A137" s="30"/>
      <c r="B137" s="135"/>
      <c r="C137" s="136">
        <v>18</v>
      </c>
      <c r="D137" s="136" t="s">
        <v>136</v>
      </c>
      <c r="E137" s="137" t="s">
        <v>431</v>
      </c>
      <c r="F137" s="138" t="s">
        <v>432</v>
      </c>
      <c r="G137" s="139" t="s">
        <v>151</v>
      </c>
      <c r="H137" s="140">
        <f>H134</f>
        <v>7.199999999999999</v>
      </c>
      <c r="I137" s="141"/>
      <c r="J137" s="141">
        <f>ROUND(I137*H137,2)</f>
        <v>0</v>
      </c>
      <c r="K137" s="138" t="s">
        <v>141</v>
      </c>
      <c r="L137" s="31"/>
      <c r="M137" s="142" t="s">
        <v>3</v>
      </c>
      <c r="N137" s="143" t="s">
        <v>43</v>
      </c>
      <c r="O137" s="144">
        <v>0.118</v>
      </c>
      <c r="P137" s="144">
        <f>O137*H137</f>
        <v>0.8495999999999999</v>
      </c>
      <c r="Q137" s="144">
        <v>0.0002</v>
      </c>
      <c r="R137" s="144">
        <f>Q137*H137</f>
        <v>0.0014399999999999999</v>
      </c>
      <c r="S137" s="144">
        <v>0</v>
      </c>
      <c r="T137" s="145">
        <f>S137*H137</f>
        <v>0</v>
      </c>
      <c r="U137" s="30"/>
      <c r="V137" s="30"/>
      <c r="W137" s="30"/>
      <c r="X137" s="30"/>
      <c r="Y137" s="30"/>
      <c r="Z137" s="30"/>
      <c r="AA137" s="30"/>
      <c r="AB137" s="30"/>
      <c r="AC137" s="30"/>
      <c r="AD137" s="30"/>
      <c r="AE137" s="30"/>
      <c r="AR137" s="146" t="s">
        <v>154</v>
      </c>
      <c r="AT137" s="146" t="s">
        <v>136</v>
      </c>
      <c r="AU137" s="146" t="s">
        <v>82</v>
      </c>
      <c r="AY137" s="18" t="s">
        <v>133</v>
      </c>
      <c r="BE137" s="147">
        <f>IF(N137="základní",J137,0)</f>
        <v>0</v>
      </c>
      <c r="BF137" s="147">
        <f>IF(N137="snížená",J137,0)</f>
        <v>0</v>
      </c>
      <c r="BG137" s="147">
        <f>IF(N137="zákl. přenesená",J137,0)</f>
        <v>0</v>
      </c>
      <c r="BH137" s="147">
        <f>IF(N137="sníž. přenesená",J137,0)</f>
        <v>0</v>
      </c>
      <c r="BI137" s="147">
        <f>IF(N137="nulová",J137,0)</f>
        <v>0</v>
      </c>
      <c r="BJ137" s="18" t="s">
        <v>80</v>
      </c>
      <c r="BK137" s="147">
        <f>ROUND(I137*H137,2)</f>
        <v>0</v>
      </c>
      <c r="BL137" s="18" t="s">
        <v>154</v>
      </c>
      <c r="BM137" s="146" t="s">
        <v>433</v>
      </c>
    </row>
    <row r="138" spans="1:47" s="2" customFormat="1" ht="39">
      <c r="A138" s="30"/>
      <c r="B138" s="31"/>
      <c r="C138" s="30"/>
      <c r="D138" s="149" t="s">
        <v>142</v>
      </c>
      <c r="E138" s="30"/>
      <c r="F138" s="162" t="s">
        <v>434</v>
      </c>
      <c r="G138" s="30"/>
      <c r="H138" s="30"/>
      <c r="I138" s="30"/>
      <c r="J138" s="30"/>
      <c r="K138" s="30"/>
      <c r="L138" s="31"/>
      <c r="M138" s="163"/>
      <c r="N138" s="164"/>
      <c r="O138" s="51"/>
      <c r="P138" s="51"/>
      <c r="Q138" s="51"/>
      <c r="R138" s="51"/>
      <c r="S138" s="51"/>
      <c r="T138" s="52"/>
      <c r="U138" s="30"/>
      <c r="V138" s="30"/>
      <c r="W138" s="30"/>
      <c r="X138" s="30"/>
      <c r="Y138" s="30"/>
      <c r="Z138" s="30"/>
      <c r="AA138" s="30"/>
      <c r="AB138" s="30"/>
      <c r="AC138" s="30"/>
      <c r="AD138" s="30"/>
      <c r="AE138" s="30"/>
      <c r="AT138" s="18" t="s">
        <v>142</v>
      </c>
      <c r="AU138" s="18" t="s">
        <v>82</v>
      </c>
    </row>
    <row r="139" spans="1:65" s="2" customFormat="1" ht="24.2" customHeight="1">
      <c r="A139" s="30"/>
      <c r="B139" s="135"/>
      <c r="C139" s="136">
        <v>19</v>
      </c>
      <c r="D139" s="136" t="s">
        <v>136</v>
      </c>
      <c r="E139" s="137" t="s">
        <v>435</v>
      </c>
      <c r="F139" s="138" t="s">
        <v>436</v>
      </c>
      <c r="G139" s="139" t="s">
        <v>140</v>
      </c>
      <c r="H139" s="140">
        <f>H142</f>
        <v>8</v>
      </c>
      <c r="I139" s="141"/>
      <c r="J139" s="141">
        <f>ROUND(I139*H139,2)</f>
        <v>0</v>
      </c>
      <c r="K139" s="138" t="s">
        <v>141</v>
      </c>
      <c r="L139" s="31"/>
      <c r="M139" s="142" t="s">
        <v>3</v>
      </c>
      <c r="N139" s="143" t="s">
        <v>43</v>
      </c>
      <c r="O139" s="144">
        <v>0.17</v>
      </c>
      <c r="P139" s="144">
        <f>O139*H139</f>
        <v>1.36</v>
      </c>
      <c r="Q139" s="144">
        <v>0.00017</v>
      </c>
      <c r="R139" s="144">
        <f>Q139*H139</f>
        <v>0.00136</v>
      </c>
      <c r="S139" s="144">
        <v>0</v>
      </c>
      <c r="T139" s="145">
        <f>S139*H139</f>
        <v>0</v>
      </c>
      <c r="U139" s="30"/>
      <c r="V139" s="30"/>
      <c r="W139" s="30"/>
      <c r="X139" s="30"/>
      <c r="Y139" s="30"/>
      <c r="Z139" s="30"/>
      <c r="AA139" s="30"/>
      <c r="AB139" s="30"/>
      <c r="AC139" s="30"/>
      <c r="AD139" s="30"/>
      <c r="AE139" s="30"/>
      <c r="AR139" s="146" t="s">
        <v>154</v>
      </c>
      <c r="AT139" s="146" t="s">
        <v>136</v>
      </c>
      <c r="AU139" s="146" t="s">
        <v>82</v>
      </c>
      <c r="AY139" s="18" t="s">
        <v>133</v>
      </c>
      <c r="BE139" s="147">
        <f>IF(N139="základní",J139,0)</f>
        <v>0</v>
      </c>
      <c r="BF139" s="147">
        <f>IF(N139="snížená",J139,0)</f>
        <v>0</v>
      </c>
      <c r="BG139" s="147">
        <f>IF(N139="zákl. přenesená",J139,0)</f>
        <v>0</v>
      </c>
      <c r="BH139" s="147">
        <f>IF(N139="sníž. přenesená",J139,0)</f>
        <v>0</v>
      </c>
      <c r="BI139" s="147">
        <f>IF(N139="nulová",J139,0)</f>
        <v>0</v>
      </c>
      <c r="BJ139" s="18" t="s">
        <v>80</v>
      </c>
      <c r="BK139" s="147">
        <f>ROUND(I139*H139,2)</f>
        <v>0</v>
      </c>
      <c r="BL139" s="18" t="s">
        <v>154</v>
      </c>
      <c r="BM139" s="146" t="s">
        <v>437</v>
      </c>
    </row>
    <row r="140" spans="1:47" s="2" customFormat="1" ht="48.75">
      <c r="A140" s="30"/>
      <c r="B140" s="31"/>
      <c r="C140" s="30"/>
      <c r="D140" s="149" t="s">
        <v>142</v>
      </c>
      <c r="E140" s="30"/>
      <c r="F140" s="162" t="s">
        <v>438</v>
      </c>
      <c r="G140" s="30"/>
      <c r="H140" s="30"/>
      <c r="I140" s="30"/>
      <c r="J140" s="30"/>
      <c r="K140" s="30"/>
      <c r="L140" s="31"/>
      <c r="M140" s="163"/>
      <c r="N140" s="164"/>
      <c r="O140" s="51"/>
      <c r="P140" s="51"/>
      <c r="Q140" s="51"/>
      <c r="R140" s="51"/>
      <c r="S140" s="51"/>
      <c r="T140" s="52"/>
      <c r="U140" s="30"/>
      <c r="V140" s="30"/>
      <c r="W140" s="30"/>
      <c r="X140" s="30"/>
      <c r="Y140" s="30"/>
      <c r="Z140" s="30"/>
      <c r="AA140" s="30"/>
      <c r="AB140" s="30"/>
      <c r="AC140" s="30"/>
      <c r="AD140" s="30"/>
      <c r="AE140" s="30"/>
      <c r="AT140" s="18" t="s">
        <v>142</v>
      </c>
      <c r="AU140" s="18" t="s">
        <v>82</v>
      </c>
    </row>
    <row r="141" spans="2:51" s="13" customFormat="1" ht="12">
      <c r="B141" s="148"/>
      <c r="D141" s="149" t="s">
        <v>139</v>
      </c>
      <c r="E141" s="150" t="s">
        <v>3</v>
      </c>
      <c r="F141" s="151" t="s">
        <v>904</v>
      </c>
      <c r="H141" s="150" t="s">
        <v>3</v>
      </c>
      <c r="L141" s="148"/>
      <c r="M141" s="152"/>
      <c r="N141" s="153"/>
      <c r="O141" s="153"/>
      <c r="P141" s="153"/>
      <c r="Q141" s="153"/>
      <c r="R141" s="153"/>
      <c r="S141" s="153"/>
      <c r="T141" s="154"/>
      <c r="AT141" s="150" t="s">
        <v>139</v>
      </c>
      <c r="AU141" s="150" t="s">
        <v>82</v>
      </c>
      <c r="AV141" s="13" t="s">
        <v>80</v>
      </c>
      <c r="AW141" s="13" t="s">
        <v>34</v>
      </c>
      <c r="AX141" s="13" t="s">
        <v>72</v>
      </c>
      <c r="AY141" s="150" t="s">
        <v>133</v>
      </c>
    </row>
    <row r="142" spans="2:51" s="14" customFormat="1" ht="12">
      <c r="B142" s="155"/>
      <c r="D142" s="149" t="s">
        <v>139</v>
      </c>
      <c r="E142" s="156" t="s">
        <v>3</v>
      </c>
      <c r="F142" s="157" t="s">
        <v>1004</v>
      </c>
      <c r="H142" s="158">
        <v>8</v>
      </c>
      <c r="L142" s="155"/>
      <c r="M142" s="159"/>
      <c r="N142" s="160"/>
      <c r="O142" s="160"/>
      <c r="P142" s="160"/>
      <c r="Q142" s="160"/>
      <c r="R142" s="160"/>
      <c r="S142" s="160"/>
      <c r="T142" s="161"/>
      <c r="AT142" s="156" t="s">
        <v>139</v>
      </c>
      <c r="AU142" s="156" t="s">
        <v>82</v>
      </c>
      <c r="AV142" s="14" t="s">
        <v>82</v>
      </c>
      <c r="AW142" s="14" t="s">
        <v>34</v>
      </c>
      <c r="AX142" s="14" t="s">
        <v>80</v>
      </c>
      <c r="AY142" s="156" t="s">
        <v>133</v>
      </c>
    </row>
    <row r="143" spans="1:65" s="2" customFormat="1" ht="24.2" customHeight="1">
      <c r="A143" s="30"/>
      <c r="B143" s="135"/>
      <c r="C143" s="136">
        <v>20</v>
      </c>
      <c r="D143" s="136" t="s">
        <v>136</v>
      </c>
      <c r="E143" s="137" t="s">
        <v>439</v>
      </c>
      <c r="F143" s="138" t="s">
        <v>440</v>
      </c>
      <c r="G143" s="139" t="s">
        <v>140</v>
      </c>
      <c r="H143" s="140">
        <f>H139</f>
        <v>8</v>
      </c>
      <c r="I143" s="141"/>
      <c r="J143" s="141">
        <f>ROUND(I143*H143,2)</f>
        <v>0</v>
      </c>
      <c r="K143" s="138" t="s">
        <v>141</v>
      </c>
      <c r="L143" s="31"/>
      <c r="M143" s="142" t="s">
        <v>3</v>
      </c>
      <c r="N143" s="143" t="s">
        <v>43</v>
      </c>
      <c r="O143" s="144">
        <v>0.16</v>
      </c>
      <c r="P143" s="144">
        <f>O143*H143</f>
        <v>1.28</v>
      </c>
      <c r="Q143" s="144">
        <v>0.00028</v>
      </c>
      <c r="R143" s="144">
        <f>Q143*H143</f>
        <v>0.00224</v>
      </c>
      <c r="S143" s="144">
        <v>0</v>
      </c>
      <c r="T143" s="145">
        <f>S143*H143</f>
        <v>0</v>
      </c>
      <c r="U143" s="30"/>
      <c r="V143" s="30"/>
      <c r="W143" s="30"/>
      <c r="X143" s="30"/>
      <c r="Y143" s="30"/>
      <c r="Z143" s="30"/>
      <c r="AA143" s="30"/>
      <c r="AB143" s="30"/>
      <c r="AC143" s="30"/>
      <c r="AD143" s="30"/>
      <c r="AE143" s="30"/>
      <c r="AR143" s="146" t="s">
        <v>154</v>
      </c>
      <c r="AT143" s="146" t="s">
        <v>136</v>
      </c>
      <c r="AU143" s="146" t="s">
        <v>82</v>
      </c>
      <c r="AY143" s="18" t="s">
        <v>133</v>
      </c>
      <c r="BE143" s="147">
        <f>IF(N143="základní",J143,0)</f>
        <v>0</v>
      </c>
      <c r="BF143" s="147">
        <f>IF(N143="snížená",J143,0)</f>
        <v>0</v>
      </c>
      <c r="BG143" s="147">
        <f>IF(N143="zákl. přenesená",J143,0)</f>
        <v>0</v>
      </c>
      <c r="BH143" s="147">
        <f>IF(N143="sníž. přenesená",J143,0)</f>
        <v>0</v>
      </c>
      <c r="BI143" s="147">
        <f>IF(N143="nulová",J143,0)</f>
        <v>0</v>
      </c>
      <c r="BJ143" s="18" t="s">
        <v>80</v>
      </c>
      <c r="BK143" s="147">
        <f>ROUND(I143*H143,2)</f>
        <v>0</v>
      </c>
      <c r="BL143" s="18" t="s">
        <v>154</v>
      </c>
      <c r="BM143" s="146" t="s">
        <v>441</v>
      </c>
    </row>
    <row r="144" spans="1:65" s="2" customFormat="1" ht="37.9" customHeight="1">
      <c r="A144" s="30"/>
      <c r="B144" s="135"/>
      <c r="C144" s="136">
        <v>21</v>
      </c>
      <c r="D144" s="136" t="s">
        <v>136</v>
      </c>
      <c r="E144" s="137" t="s">
        <v>442</v>
      </c>
      <c r="F144" s="138" t="s">
        <v>443</v>
      </c>
      <c r="G144" s="139" t="s">
        <v>151</v>
      </c>
      <c r="H144" s="140">
        <f>H134</f>
        <v>7.199999999999999</v>
      </c>
      <c r="I144" s="141"/>
      <c r="J144" s="141">
        <f>ROUND(I144*H144,2)</f>
        <v>0</v>
      </c>
      <c r="K144" s="138" t="s">
        <v>141</v>
      </c>
      <c r="L144" s="31"/>
      <c r="M144" s="142" t="s">
        <v>3</v>
      </c>
      <c r="N144" s="143" t="s">
        <v>43</v>
      </c>
      <c r="O144" s="144">
        <v>0.067</v>
      </c>
      <c r="P144" s="144">
        <f>O144*H144</f>
        <v>0.4824</v>
      </c>
      <c r="Q144" s="144">
        <v>0.00019</v>
      </c>
      <c r="R144" s="144">
        <f>Q144*H144</f>
        <v>0.0013679999999999999</v>
      </c>
      <c r="S144" s="144">
        <v>0</v>
      </c>
      <c r="T144" s="145">
        <f>S144*H144</f>
        <v>0</v>
      </c>
      <c r="U144" s="30"/>
      <c r="V144" s="30"/>
      <c r="W144" s="30"/>
      <c r="X144" s="30"/>
      <c r="Y144" s="30"/>
      <c r="Z144" s="30"/>
      <c r="AA144" s="30"/>
      <c r="AB144" s="30"/>
      <c r="AC144" s="30"/>
      <c r="AD144" s="30"/>
      <c r="AE144" s="30"/>
      <c r="AR144" s="146" t="s">
        <v>154</v>
      </c>
      <c r="AT144" s="146" t="s">
        <v>136</v>
      </c>
      <c r="AU144" s="146" t="s">
        <v>82</v>
      </c>
      <c r="AY144" s="18" t="s">
        <v>133</v>
      </c>
      <c r="BE144" s="147">
        <f>IF(N144="základní",J144,0)</f>
        <v>0</v>
      </c>
      <c r="BF144" s="147">
        <f>IF(N144="snížená",J144,0)</f>
        <v>0</v>
      </c>
      <c r="BG144" s="147">
        <f>IF(N144="zákl. přenesená",J144,0)</f>
        <v>0</v>
      </c>
      <c r="BH144" s="147">
        <f>IF(N144="sníž. přenesená",J144,0)</f>
        <v>0</v>
      </c>
      <c r="BI144" s="147">
        <f>IF(N144="nulová",J144,0)</f>
        <v>0</v>
      </c>
      <c r="BJ144" s="18" t="s">
        <v>80</v>
      </c>
      <c r="BK144" s="147">
        <f>ROUND(I144*H144,2)</f>
        <v>0</v>
      </c>
      <c r="BL144" s="18" t="s">
        <v>154</v>
      </c>
      <c r="BM144" s="146" t="s">
        <v>444</v>
      </c>
    </row>
    <row r="145" spans="1:47" s="2" customFormat="1" ht="107.25">
      <c r="A145" s="30"/>
      <c r="B145" s="31"/>
      <c r="C145" s="30"/>
      <c r="D145" s="149" t="s">
        <v>142</v>
      </c>
      <c r="E145" s="30"/>
      <c r="F145" s="162" t="s">
        <v>445</v>
      </c>
      <c r="G145" s="30"/>
      <c r="H145" s="30"/>
      <c r="I145" s="30"/>
      <c r="J145" s="30"/>
      <c r="K145" s="30"/>
      <c r="L145" s="31"/>
      <c r="M145" s="163"/>
      <c r="N145" s="164"/>
      <c r="O145" s="51"/>
      <c r="P145" s="51"/>
      <c r="Q145" s="51"/>
      <c r="R145" s="51"/>
      <c r="S145" s="51"/>
      <c r="T145" s="52"/>
      <c r="U145" s="30"/>
      <c r="V145" s="30"/>
      <c r="W145" s="30"/>
      <c r="X145" s="30"/>
      <c r="Y145" s="30"/>
      <c r="Z145" s="30"/>
      <c r="AA145" s="30"/>
      <c r="AB145" s="30"/>
      <c r="AC145" s="30"/>
      <c r="AD145" s="30"/>
      <c r="AE145" s="30"/>
      <c r="AT145" s="18" t="s">
        <v>142</v>
      </c>
      <c r="AU145" s="18" t="s">
        <v>82</v>
      </c>
    </row>
    <row r="146" spans="1:65" s="2" customFormat="1" ht="37.9" customHeight="1">
      <c r="A146" s="30"/>
      <c r="B146" s="135"/>
      <c r="C146" s="136">
        <v>22</v>
      </c>
      <c r="D146" s="136" t="s">
        <v>136</v>
      </c>
      <c r="E146" s="137" t="s">
        <v>446</v>
      </c>
      <c r="F146" s="138" t="s">
        <v>447</v>
      </c>
      <c r="G146" s="139" t="s">
        <v>229</v>
      </c>
      <c r="H146" s="140">
        <f>SUM(J134:J145)/100</f>
        <v>0</v>
      </c>
      <c r="I146" s="141"/>
      <c r="J146" s="141">
        <f>ROUND(I146*H146,2)</f>
        <v>0</v>
      </c>
      <c r="K146" s="138" t="s">
        <v>141</v>
      </c>
      <c r="L146" s="31"/>
      <c r="M146" s="142" t="s">
        <v>3</v>
      </c>
      <c r="N146" s="143" t="s">
        <v>43</v>
      </c>
      <c r="O146" s="144">
        <v>0</v>
      </c>
      <c r="P146" s="144">
        <f>O146*H146</f>
        <v>0</v>
      </c>
      <c r="Q146" s="144">
        <v>0</v>
      </c>
      <c r="R146" s="144">
        <f>Q146*H146</f>
        <v>0</v>
      </c>
      <c r="S146" s="144">
        <v>0</v>
      </c>
      <c r="T146" s="145">
        <f>S146*H146</f>
        <v>0</v>
      </c>
      <c r="U146" s="30"/>
      <c r="V146" s="30"/>
      <c r="W146" s="30"/>
      <c r="X146" s="30"/>
      <c r="Y146" s="30"/>
      <c r="Z146" s="30"/>
      <c r="AA146" s="30"/>
      <c r="AB146" s="30"/>
      <c r="AC146" s="30"/>
      <c r="AD146" s="30"/>
      <c r="AE146" s="30"/>
      <c r="AR146" s="146" t="s">
        <v>154</v>
      </c>
      <c r="AT146" s="146" t="s">
        <v>136</v>
      </c>
      <c r="AU146" s="146" t="s">
        <v>82</v>
      </c>
      <c r="AY146" s="18" t="s">
        <v>133</v>
      </c>
      <c r="BE146" s="147">
        <f>IF(N146="základní",J146,0)</f>
        <v>0</v>
      </c>
      <c r="BF146" s="147">
        <f>IF(N146="snížená",J146,0)</f>
        <v>0</v>
      </c>
      <c r="BG146" s="147">
        <f>IF(N146="zákl. přenesená",J146,0)</f>
        <v>0</v>
      </c>
      <c r="BH146" s="147">
        <f>IF(N146="sníž. přenesená",J146,0)</f>
        <v>0</v>
      </c>
      <c r="BI146" s="147">
        <f>IF(N146="nulová",J146,0)</f>
        <v>0</v>
      </c>
      <c r="BJ146" s="18" t="s">
        <v>80</v>
      </c>
      <c r="BK146" s="147">
        <f>ROUND(I146*H146,2)</f>
        <v>0</v>
      </c>
      <c r="BL146" s="18" t="s">
        <v>154</v>
      </c>
      <c r="BM146" s="146" t="s">
        <v>448</v>
      </c>
    </row>
    <row r="147" spans="1:47" s="2" customFormat="1" ht="126.75">
      <c r="A147" s="30"/>
      <c r="B147" s="31"/>
      <c r="C147" s="30"/>
      <c r="D147" s="149" t="s">
        <v>142</v>
      </c>
      <c r="E147" s="30"/>
      <c r="F147" s="162" t="s">
        <v>449</v>
      </c>
      <c r="G147" s="30"/>
      <c r="H147" s="30"/>
      <c r="I147" s="30"/>
      <c r="J147" s="30"/>
      <c r="K147" s="30"/>
      <c r="L147" s="31"/>
      <c r="M147" s="163"/>
      <c r="N147" s="164"/>
      <c r="O147" s="51"/>
      <c r="P147" s="51"/>
      <c r="Q147" s="51"/>
      <c r="R147" s="51"/>
      <c r="S147" s="51"/>
      <c r="T147" s="52"/>
      <c r="U147" s="30"/>
      <c r="V147" s="30"/>
      <c r="W147" s="30"/>
      <c r="X147" s="30"/>
      <c r="Y147" s="30"/>
      <c r="Z147" s="30"/>
      <c r="AA147" s="30"/>
      <c r="AB147" s="30"/>
      <c r="AC147" s="30"/>
      <c r="AD147" s="30"/>
      <c r="AE147" s="30"/>
      <c r="AT147" s="18" t="s">
        <v>142</v>
      </c>
      <c r="AU147" s="18" t="s">
        <v>82</v>
      </c>
    </row>
    <row r="148" spans="1:65" s="2" customFormat="1" ht="49.15" customHeight="1">
      <c r="A148" s="30"/>
      <c r="B148" s="135"/>
      <c r="C148" s="136">
        <v>23</v>
      </c>
      <c r="D148" s="136" t="s">
        <v>136</v>
      </c>
      <c r="E148" s="137" t="s">
        <v>450</v>
      </c>
      <c r="F148" s="138" t="s">
        <v>451</v>
      </c>
      <c r="G148" s="139" t="s">
        <v>229</v>
      </c>
      <c r="H148" s="140">
        <f>H146</f>
        <v>0</v>
      </c>
      <c r="I148" s="141"/>
      <c r="J148" s="141">
        <f>ROUND(I148*H148,2)</f>
        <v>0</v>
      </c>
      <c r="K148" s="138" t="s">
        <v>141</v>
      </c>
      <c r="L148" s="31"/>
      <c r="M148" s="142" t="s">
        <v>3</v>
      </c>
      <c r="N148" s="143" t="s">
        <v>43</v>
      </c>
      <c r="O148" s="144">
        <v>0</v>
      </c>
      <c r="P148" s="144">
        <f>O148*H148</f>
        <v>0</v>
      </c>
      <c r="Q148" s="144">
        <v>0</v>
      </c>
      <c r="R148" s="144">
        <f>Q148*H148</f>
        <v>0</v>
      </c>
      <c r="S148" s="144">
        <v>0</v>
      </c>
      <c r="T148" s="145">
        <f>S148*H148</f>
        <v>0</v>
      </c>
      <c r="U148" s="30"/>
      <c r="V148" s="30"/>
      <c r="W148" s="30"/>
      <c r="X148" s="30"/>
      <c r="Y148" s="30"/>
      <c r="Z148" s="30"/>
      <c r="AA148" s="30"/>
      <c r="AB148" s="30"/>
      <c r="AC148" s="30"/>
      <c r="AD148" s="30"/>
      <c r="AE148" s="30"/>
      <c r="AR148" s="146" t="s">
        <v>154</v>
      </c>
      <c r="AT148" s="146" t="s">
        <v>136</v>
      </c>
      <c r="AU148" s="146" t="s">
        <v>82</v>
      </c>
      <c r="AY148" s="18" t="s">
        <v>133</v>
      </c>
      <c r="BE148" s="147">
        <f>IF(N148="základní",J148,0)</f>
        <v>0</v>
      </c>
      <c r="BF148" s="147">
        <f>IF(N148="snížená",J148,0)</f>
        <v>0</v>
      </c>
      <c r="BG148" s="147">
        <f>IF(N148="zákl. přenesená",J148,0)</f>
        <v>0</v>
      </c>
      <c r="BH148" s="147">
        <f>IF(N148="sníž. přenesená",J148,0)</f>
        <v>0</v>
      </c>
      <c r="BI148" s="147">
        <f>IF(N148="nulová",J148,0)</f>
        <v>0</v>
      </c>
      <c r="BJ148" s="18" t="s">
        <v>80</v>
      </c>
      <c r="BK148" s="147">
        <f>ROUND(I148*H148,2)</f>
        <v>0</v>
      </c>
      <c r="BL148" s="18" t="s">
        <v>154</v>
      </c>
      <c r="BM148" s="146" t="s">
        <v>452</v>
      </c>
    </row>
    <row r="149" spans="1:47" s="2" customFormat="1" ht="126.75">
      <c r="A149" s="30"/>
      <c r="B149" s="31"/>
      <c r="C149" s="30"/>
      <c r="D149" s="149" t="s">
        <v>142</v>
      </c>
      <c r="E149" s="30"/>
      <c r="F149" s="162" t="s">
        <v>449</v>
      </c>
      <c r="G149" s="30"/>
      <c r="H149" s="30"/>
      <c r="I149" s="30"/>
      <c r="J149" s="30"/>
      <c r="K149" s="30"/>
      <c r="L149" s="31"/>
      <c r="M149" s="163"/>
      <c r="N149" s="164"/>
      <c r="O149" s="51"/>
      <c r="P149" s="51"/>
      <c r="Q149" s="51"/>
      <c r="R149" s="51"/>
      <c r="S149" s="51"/>
      <c r="T149" s="52"/>
      <c r="U149" s="30"/>
      <c r="V149" s="30"/>
      <c r="W149" s="30"/>
      <c r="X149" s="30"/>
      <c r="Y149" s="30"/>
      <c r="Z149" s="30"/>
      <c r="AA149" s="30"/>
      <c r="AB149" s="30"/>
      <c r="AC149" s="30"/>
      <c r="AD149" s="30"/>
      <c r="AE149" s="30"/>
      <c r="AT149" s="18" t="s">
        <v>142</v>
      </c>
      <c r="AU149" s="18" t="s">
        <v>82</v>
      </c>
    </row>
    <row r="150" spans="2:63" s="12" customFormat="1" ht="22.9" customHeight="1">
      <c r="B150" s="123"/>
      <c r="D150" s="124" t="s">
        <v>71</v>
      </c>
      <c r="E150" s="133" t="s">
        <v>453</v>
      </c>
      <c r="F150" s="133" t="s">
        <v>454</v>
      </c>
      <c r="J150" s="134">
        <f>BK150</f>
        <v>0</v>
      </c>
      <c r="L150" s="123"/>
      <c r="M150" s="127"/>
      <c r="N150" s="128"/>
      <c r="O150" s="128"/>
      <c r="P150" s="129">
        <f>SUM(P151:P175)</f>
        <v>5.6948870000000005</v>
      </c>
      <c r="Q150" s="128"/>
      <c r="R150" s="129">
        <f>SUM(R151:R175)</f>
        <v>0.006350000000000001</v>
      </c>
      <c r="S150" s="128"/>
      <c r="T150" s="130">
        <f>SUM(T151:T175)</f>
        <v>0.025130000000000003</v>
      </c>
      <c r="AR150" s="124" t="s">
        <v>82</v>
      </c>
      <c r="AT150" s="131" t="s">
        <v>71</v>
      </c>
      <c r="AU150" s="131" t="s">
        <v>80</v>
      </c>
      <c r="AY150" s="124" t="s">
        <v>133</v>
      </c>
      <c r="BK150" s="132">
        <f>SUM(BK151:BK175)</f>
        <v>0</v>
      </c>
    </row>
    <row r="151" spans="1:65" s="2" customFormat="1" ht="14.45" customHeight="1">
      <c r="A151" s="30"/>
      <c r="B151" s="135"/>
      <c r="C151" s="136">
        <v>24</v>
      </c>
      <c r="D151" s="136" t="s">
        <v>136</v>
      </c>
      <c r="E151" s="137" t="s">
        <v>455</v>
      </c>
      <c r="F151" s="138" t="s">
        <v>456</v>
      </c>
      <c r="G151" s="139" t="s">
        <v>404</v>
      </c>
      <c r="H151" s="140">
        <v>1</v>
      </c>
      <c r="I151" s="141"/>
      <c r="J151" s="141">
        <f>ROUND(I151*H151,2)</f>
        <v>0</v>
      </c>
      <c r="K151" s="138" t="s">
        <v>141</v>
      </c>
      <c r="L151" s="31"/>
      <c r="M151" s="142" t="s">
        <v>3</v>
      </c>
      <c r="N151" s="143" t="s">
        <v>43</v>
      </c>
      <c r="O151" s="144">
        <v>0.362</v>
      </c>
      <c r="P151" s="144">
        <f>O151*H151</f>
        <v>0.362</v>
      </c>
      <c r="Q151" s="144">
        <v>0</v>
      </c>
      <c r="R151" s="144">
        <f>Q151*H151</f>
        <v>0</v>
      </c>
      <c r="S151" s="144">
        <v>0.01946</v>
      </c>
      <c r="T151" s="145">
        <f>S151*H151</f>
        <v>0.01946</v>
      </c>
      <c r="U151" s="30"/>
      <c r="V151" s="30"/>
      <c r="W151" s="30"/>
      <c r="X151" s="30"/>
      <c r="Y151" s="30"/>
      <c r="Z151" s="30"/>
      <c r="AA151" s="30"/>
      <c r="AB151" s="30"/>
      <c r="AC151" s="30"/>
      <c r="AD151" s="30"/>
      <c r="AE151" s="30"/>
      <c r="AR151" s="146" t="s">
        <v>154</v>
      </c>
      <c r="AT151" s="146" t="s">
        <v>136</v>
      </c>
      <c r="AU151" s="146" t="s">
        <v>82</v>
      </c>
      <c r="AY151" s="18" t="s">
        <v>133</v>
      </c>
      <c r="BE151" s="147">
        <f>IF(N151="základní",J151,0)</f>
        <v>0</v>
      </c>
      <c r="BF151" s="147">
        <f>IF(N151="snížená",J151,0)</f>
        <v>0</v>
      </c>
      <c r="BG151" s="147">
        <f>IF(N151="zákl. přenesená",J151,0)</f>
        <v>0</v>
      </c>
      <c r="BH151" s="147">
        <f>IF(N151="sníž. přenesená",J151,0)</f>
        <v>0</v>
      </c>
      <c r="BI151" s="147">
        <f>IF(N151="nulová",J151,0)</f>
        <v>0</v>
      </c>
      <c r="BJ151" s="18" t="s">
        <v>80</v>
      </c>
      <c r="BK151" s="147">
        <f>ROUND(I151*H151,2)</f>
        <v>0</v>
      </c>
      <c r="BL151" s="18" t="s">
        <v>154</v>
      </c>
      <c r="BM151" s="146" t="s">
        <v>457</v>
      </c>
    </row>
    <row r="152" spans="2:51" s="13" customFormat="1" ht="12">
      <c r="B152" s="148"/>
      <c r="D152" s="149" t="s">
        <v>139</v>
      </c>
      <c r="E152" s="150" t="s">
        <v>3</v>
      </c>
      <c r="F152" s="151" t="s">
        <v>906</v>
      </c>
      <c r="H152" s="150" t="s">
        <v>3</v>
      </c>
      <c r="L152" s="148"/>
      <c r="M152" s="152"/>
      <c r="N152" s="153"/>
      <c r="O152" s="153"/>
      <c r="P152" s="153"/>
      <c r="Q152" s="153"/>
      <c r="R152" s="153"/>
      <c r="S152" s="153"/>
      <c r="T152" s="154"/>
      <c r="AT152" s="150" t="s">
        <v>139</v>
      </c>
      <c r="AU152" s="150" t="s">
        <v>82</v>
      </c>
      <c r="AV152" s="13" t="s">
        <v>80</v>
      </c>
      <c r="AW152" s="13" t="s">
        <v>34</v>
      </c>
      <c r="AX152" s="13" t="s">
        <v>72</v>
      </c>
      <c r="AY152" s="150" t="s">
        <v>133</v>
      </c>
    </row>
    <row r="153" spans="1:65" s="2" customFormat="1" ht="14.45" customHeight="1">
      <c r="A153" s="30"/>
      <c r="B153" s="135"/>
      <c r="C153" s="136">
        <v>25</v>
      </c>
      <c r="D153" s="136" t="s">
        <v>136</v>
      </c>
      <c r="E153" s="137" t="s">
        <v>458</v>
      </c>
      <c r="F153" s="138" t="s">
        <v>459</v>
      </c>
      <c r="G153" s="139" t="s">
        <v>404</v>
      </c>
      <c r="H153" s="140">
        <v>2</v>
      </c>
      <c r="I153" s="141"/>
      <c r="J153" s="141">
        <f>ROUND(I153*H153,2)</f>
        <v>0</v>
      </c>
      <c r="K153" s="138" t="s">
        <v>141</v>
      </c>
      <c r="L153" s="31"/>
      <c r="M153" s="142" t="s">
        <v>3</v>
      </c>
      <c r="N153" s="143" t="s">
        <v>43</v>
      </c>
      <c r="O153" s="144">
        <v>0.217</v>
      </c>
      <c r="P153" s="144">
        <f>O153*H153</f>
        <v>0.434</v>
      </c>
      <c r="Q153" s="144">
        <v>0</v>
      </c>
      <c r="R153" s="144">
        <f>Q153*H153</f>
        <v>0</v>
      </c>
      <c r="S153" s="144">
        <v>0.00156</v>
      </c>
      <c r="T153" s="145">
        <f>S153*H153</f>
        <v>0.00312</v>
      </c>
      <c r="U153" s="30"/>
      <c r="V153" s="30"/>
      <c r="W153" s="30"/>
      <c r="X153" s="30"/>
      <c r="Y153" s="30"/>
      <c r="Z153" s="30"/>
      <c r="AA153" s="30"/>
      <c r="AB153" s="30"/>
      <c r="AC153" s="30"/>
      <c r="AD153" s="30"/>
      <c r="AE153" s="30"/>
      <c r="AR153" s="146" t="s">
        <v>154</v>
      </c>
      <c r="AT153" s="146" t="s">
        <v>136</v>
      </c>
      <c r="AU153" s="146" t="s">
        <v>82</v>
      </c>
      <c r="AY153" s="18" t="s">
        <v>133</v>
      </c>
      <c r="BE153" s="147">
        <f>IF(N153="základní",J153,0)</f>
        <v>0</v>
      </c>
      <c r="BF153" s="147">
        <f>IF(N153="snížená",J153,0)</f>
        <v>0</v>
      </c>
      <c r="BG153" s="147">
        <f>IF(N153="zákl. přenesená",J153,0)</f>
        <v>0</v>
      </c>
      <c r="BH153" s="147">
        <f>IF(N153="sníž. přenesená",J153,0)</f>
        <v>0</v>
      </c>
      <c r="BI153" s="147">
        <f>IF(N153="nulová",J153,0)</f>
        <v>0</v>
      </c>
      <c r="BJ153" s="18" t="s">
        <v>80</v>
      </c>
      <c r="BK153" s="147">
        <f>ROUND(I153*H153,2)</f>
        <v>0</v>
      </c>
      <c r="BL153" s="18" t="s">
        <v>154</v>
      </c>
      <c r="BM153" s="146" t="s">
        <v>460</v>
      </c>
    </row>
    <row r="154" spans="2:51" s="13" customFormat="1" ht="12">
      <c r="B154" s="148"/>
      <c r="D154" s="149" t="s">
        <v>139</v>
      </c>
      <c r="E154" s="150" t="s">
        <v>3</v>
      </c>
      <c r="F154" s="151" t="s">
        <v>461</v>
      </c>
      <c r="H154" s="150" t="s">
        <v>3</v>
      </c>
      <c r="L154" s="148"/>
      <c r="M154" s="152"/>
      <c r="N154" s="153"/>
      <c r="O154" s="153"/>
      <c r="P154" s="153"/>
      <c r="Q154" s="153"/>
      <c r="R154" s="153"/>
      <c r="S154" s="153"/>
      <c r="T154" s="154"/>
      <c r="AT154" s="150" t="s">
        <v>139</v>
      </c>
      <c r="AU154" s="150" t="s">
        <v>82</v>
      </c>
      <c r="AV154" s="13" t="s">
        <v>80</v>
      </c>
      <c r="AW154" s="13" t="s">
        <v>34</v>
      </c>
      <c r="AX154" s="13" t="s">
        <v>72</v>
      </c>
      <c r="AY154" s="150" t="s">
        <v>133</v>
      </c>
    </row>
    <row r="155" spans="2:51" s="14" customFormat="1" ht="12">
      <c r="B155" s="155"/>
      <c r="D155" s="149" t="s">
        <v>139</v>
      </c>
      <c r="E155" s="156" t="s">
        <v>3</v>
      </c>
      <c r="F155" s="157" t="s">
        <v>907</v>
      </c>
      <c r="H155" s="158">
        <v>2</v>
      </c>
      <c r="L155" s="155"/>
      <c r="M155" s="159"/>
      <c r="N155" s="160"/>
      <c r="O155" s="160"/>
      <c r="P155" s="160"/>
      <c r="Q155" s="160"/>
      <c r="R155" s="160"/>
      <c r="S155" s="160"/>
      <c r="T155" s="161"/>
      <c r="AT155" s="156" t="s">
        <v>139</v>
      </c>
      <c r="AU155" s="156" t="s">
        <v>82</v>
      </c>
      <c r="AV155" s="14" t="s">
        <v>82</v>
      </c>
      <c r="AW155" s="14" t="s">
        <v>34</v>
      </c>
      <c r="AX155" s="14" t="s">
        <v>80</v>
      </c>
      <c r="AY155" s="156" t="s">
        <v>133</v>
      </c>
    </row>
    <row r="156" spans="1:65" s="2" customFormat="1" ht="24.2" customHeight="1">
      <c r="A156" s="30"/>
      <c r="B156" s="135"/>
      <c r="C156" s="136">
        <v>26</v>
      </c>
      <c r="D156" s="136" t="s">
        <v>136</v>
      </c>
      <c r="E156" s="137" t="s">
        <v>462</v>
      </c>
      <c r="F156" s="138" t="s">
        <v>463</v>
      </c>
      <c r="G156" s="139" t="s">
        <v>140</v>
      </c>
      <c r="H156" s="140">
        <v>3</v>
      </c>
      <c r="I156" s="141"/>
      <c r="J156" s="141">
        <f>ROUND(I156*H156,2)</f>
        <v>0</v>
      </c>
      <c r="K156" s="138" t="s">
        <v>141</v>
      </c>
      <c r="L156" s="31"/>
      <c r="M156" s="142" t="s">
        <v>3</v>
      </c>
      <c r="N156" s="143" t="s">
        <v>43</v>
      </c>
      <c r="O156" s="144">
        <v>0.038</v>
      </c>
      <c r="P156" s="144">
        <f>O156*H156</f>
        <v>0.11399999999999999</v>
      </c>
      <c r="Q156" s="144">
        <v>0</v>
      </c>
      <c r="R156" s="144">
        <f>Q156*H156</f>
        <v>0</v>
      </c>
      <c r="S156" s="144">
        <v>0.00085</v>
      </c>
      <c r="T156" s="145">
        <f>S156*H156</f>
        <v>0.0025499999999999997</v>
      </c>
      <c r="U156" s="30"/>
      <c r="V156" s="30"/>
      <c r="W156" s="30"/>
      <c r="X156" s="30"/>
      <c r="Y156" s="30"/>
      <c r="Z156" s="30"/>
      <c r="AA156" s="30"/>
      <c r="AB156" s="30"/>
      <c r="AC156" s="30"/>
      <c r="AD156" s="30"/>
      <c r="AE156" s="30"/>
      <c r="AR156" s="146" t="s">
        <v>154</v>
      </c>
      <c r="AT156" s="146" t="s">
        <v>136</v>
      </c>
      <c r="AU156" s="146" t="s">
        <v>82</v>
      </c>
      <c r="AY156" s="18" t="s">
        <v>133</v>
      </c>
      <c r="BE156" s="147">
        <f>IF(N156="základní",J156,0)</f>
        <v>0</v>
      </c>
      <c r="BF156" s="147">
        <f>IF(N156="snížená",J156,0)</f>
        <v>0</v>
      </c>
      <c r="BG156" s="147">
        <f>IF(N156="zákl. přenesená",J156,0)</f>
        <v>0</v>
      </c>
      <c r="BH156" s="147">
        <f>IF(N156="sníž. přenesená",J156,0)</f>
        <v>0</v>
      </c>
      <c r="BI156" s="147">
        <f>IF(N156="nulová",J156,0)</f>
        <v>0</v>
      </c>
      <c r="BJ156" s="18" t="s">
        <v>80</v>
      </c>
      <c r="BK156" s="147">
        <f>ROUND(I156*H156,2)</f>
        <v>0</v>
      </c>
      <c r="BL156" s="18" t="s">
        <v>154</v>
      </c>
      <c r="BM156" s="146" t="s">
        <v>464</v>
      </c>
    </row>
    <row r="157" spans="2:51" s="13" customFormat="1" ht="12">
      <c r="B157" s="148"/>
      <c r="D157" s="149" t="s">
        <v>139</v>
      </c>
      <c r="E157" s="150" t="s">
        <v>3</v>
      </c>
      <c r="F157" s="151" t="s">
        <v>461</v>
      </c>
      <c r="H157" s="150" t="s">
        <v>3</v>
      </c>
      <c r="L157" s="148"/>
      <c r="M157" s="152"/>
      <c r="N157" s="153"/>
      <c r="O157" s="153"/>
      <c r="P157" s="153"/>
      <c r="Q157" s="153"/>
      <c r="R157" s="153"/>
      <c r="S157" s="153"/>
      <c r="T157" s="154"/>
      <c r="AT157" s="150" t="s">
        <v>139</v>
      </c>
      <c r="AU157" s="150" t="s">
        <v>82</v>
      </c>
      <c r="AV157" s="13" t="s">
        <v>80</v>
      </c>
      <c r="AW157" s="13" t="s">
        <v>34</v>
      </c>
      <c r="AX157" s="13" t="s">
        <v>72</v>
      </c>
      <c r="AY157" s="150" t="s">
        <v>133</v>
      </c>
    </row>
    <row r="158" spans="2:51" s="14" customFormat="1" ht="12">
      <c r="B158" s="155"/>
      <c r="D158" s="149" t="s">
        <v>139</v>
      </c>
      <c r="E158" s="156" t="s">
        <v>3</v>
      </c>
      <c r="F158" s="157" t="s">
        <v>945</v>
      </c>
      <c r="H158" s="158">
        <v>3</v>
      </c>
      <c r="L158" s="155"/>
      <c r="M158" s="159"/>
      <c r="N158" s="160"/>
      <c r="O158" s="160"/>
      <c r="P158" s="160"/>
      <c r="Q158" s="160"/>
      <c r="R158" s="160"/>
      <c r="S158" s="160"/>
      <c r="T158" s="161"/>
      <c r="AT158" s="156" t="s">
        <v>139</v>
      </c>
      <c r="AU158" s="156" t="s">
        <v>82</v>
      </c>
      <c r="AV158" s="14" t="s">
        <v>82</v>
      </c>
      <c r="AW158" s="14" t="s">
        <v>34</v>
      </c>
      <c r="AX158" s="14" t="s">
        <v>80</v>
      </c>
      <c r="AY158" s="156" t="s">
        <v>133</v>
      </c>
    </row>
    <row r="159" spans="1:65" s="2" customFormat="1" ht="37.9" customHeight="1">
      <c r="A159" s="30"/>
      <c r="B159" s="135"/>
      <c r="C159" s="136">
        <v>27</v>
      </c>
      <c r="D159" s="136" t="s">
        <v>136</v>
      </c>
      <c r="E159" s="137" t="s">
        <v>465</v>
      </c>
      <c r="F159" s="138" t="s">
        <v>466</v>
      </c>
      <c r="G159" s="139" t="s">
        <v>144</v>
      </c>
      <c r="H159" s="140">
        <v>0.023</v>
      </c>
      <c r="I159" s="141"/>
      <c r="J159" s="141">
        <f>ROUND(I159*H159,2)</f>
        <v>0</v>
      </c>
      <c r="K159" s="138" t="s">
        <v>141</v>
      </c>
      <c r="L159" s="31"/>
      <c r="M159" s="142" t="s">
        <v>3</v>
      </c>
      <c r="N159" s="143" t="s">
        <v>43</v>
      </c>
      <c r="O159" s="144">
        <v>3.169</v>
      </c>
      <c r="P159" s="144">
        <f>O159*H159</f>
        <v>0.072887</v>
      </c>
      <c r="Q159" s="144">
        <v>0</v>
      </c>
      <c r="R159" s="144">
        <f>Q159*H159</f>
        <v>0</v>
      </c>
      <c r="S159" s="144">
        <v>0</v>
      </c>
      <c r="T159" s="145">
        <f>S159*H159</f>
        <v>0</v>
      </c>
      <c r="U159" s="30"/>
      <c r="V159" s="30"/>
      <c r="W159" s="30"/>
      <c r="X159" s="30"/>
      <c r="Y159" s="30"/>
      <c r="Z159" s="30"/>
      <c r="AA159" s="30"/>
      <c r="AB159" s="30"/>
      <c r="AC159" s="30"/>
      <c r="AD159" s="30"/>
      <c r="AE159" s="30"/>
      <c r="AR159" s="146" t="s">
        <v>154</v>
      </c>
      <c r="AT159" s="146" t="s">
        <v>136</v>
      </c>
      <c r="AU159" s="146" t="s">
        <v>82</v>
      </c>
      <c r="AY159" s="18" t="s">
        <v>133</v>
      </c>
      <c r="BE159" s="147">
        <f>IF(N159="základní",J159,0)</f>
        <v>0</v>
      </c>
      <c r="BF159" s="147">
        <f>IF(N159="snížená",J159,0)</f>
        <v>0</v>
      </c>
      <c r="BG159" s="147">
        <f>IF(N159="zákl. přenesená",J159,0)</f>
        <v>0</v>
      </c>
      <c r="BH159" s="147">
        <f>IF(N159="sníž. přenesená",J159,0)</f>
        <v>0</v>
      </c>
      <c r="BI159" s="147">
        <f>IF(N159="nulová",J159,0)</f>
        <v>0</v>
      </c>
      <c r="BJ159" s="18" t="s">
        <v>80</v>
      </c>
      <c r="BK159" s="147">
        <f>ROUND(I159*H159,2)</f>
        <v>0</v>
      </c>
      <c r="BL159" s="18" t="s">
        <v>154</v>
      </c>
      <c r="BM159" s="146" t="s">
        <v>467</v>
      </c>
    </row>
    <row r="160" spans="1:65" s="2" customFormat="1" ht="27.75" customHeight="1">
      <c r="A160" s="30"/>
      <c r="B160" s="135"/>
      <c r="C160" s="136">
        <v>28</v>
      </c>
      <c r="D160" s="136" t="s">
        <v>136</v>
      </c>
      <c r="E160" s="137" t="s">
        <v>468</v>
      </c>
      <c r="F160" s="138" t="s">
        <v>1005</v>
      </c>
      <c r="G160" s="139" t="s">
        <v>404</v>
      </c>
      <c r="H160" s="140">
        <v>3</v>
      </c>
      <c r="I160" s="269"/>
      <c r="J160" s="141">
        <f>ROUND(I160*H160,2)</f>
        <v>0</v>
      </c>
      <c r="K160" s="138" t="s">
        <v>141</v>
      </c>
      <c r="L160" s="31"/>
      <c r="M160" s="142" t="s">
        <v>3</v>
      </c>
      <c r="N160" s="143" t="s">
        <v>43</v>
      </c>
      <c r="O160" s="144">
        <v>1.1</v>
      </c>
      <c r="P160" s="144">
        <f>O160*H160</f>
        <v>3.3000000000000003</v>
      </c>
      <c r="Q160" s="144">
        <v>0.00173</v>
      </c>
      <c r="R160" s="144">
        <f>Q160*H160</f>
        <v>0.00519</v>
      </c>
      <c r="S160" s="144">
        <v>0</v>
      </c>
      <c r="T160" s="145">
        <f>S160*H160</f>
        <v>0</v>
      </c>
      <c r="U160" s="30"/>
      <c r="V160" s="30"/>
      <c r="W160" s="30"/>
      <c r="X160" s="30"/>
      <c r="Y160" s="30"/>
      <c r="Z160" s="30"/>
      <c r="AA160" s="30"/>
      <c r="AB160" s="30"/>
      <c r="AC160" s="30"/>
      <c r="AD160" s="30"/>
      <c r="AE160" s="30"/>
      <c r="AR160" s="146" t="s">
        <v>154</v>
      </c>
      <c r="AT160" s="146" t="s">
        <v>136</v>
      </c>
      <c r="AU160" s="146" t="s">
        <v>82</v>
      </c>
      <c r="AY160" s="18" t="s">
        <v>133</v>
      </c>
      <c r="BE160" s="147">
        <f>IF(N160="základní",J160,0)</f>
        <v>0</v>
      </c>
      <c r="BF160" s="147">
        <f>IF(N160="snížená",J160,0)</f>
        <v>0</v>
      </c>
      <c r="BG160" s="147">
        <f>IF(N160="zákl. přenesená",J160,0)</f>
        <v>0</v>
      </c>
      <c r="BH160" s="147">
        <f>IF(N160="sníž. přenesená",J160,0)</f>
        <v>0</v>
      </c>
      <c r="BI160" s="147">
        <f>IF(N160="nulová",J160,0)</f>
        <v>0</v>
      </c>
      <c r="BJ160" s="18" t="s">
        <v>80</v>
      </c>
      <c r="BK160" s="147">
        <f>ROUND(I160*H160,2)</f>
        <v>0</v>
      </c>
      <c r="BL160" s="18" t="s">
        <v>154</v>
      </c>
      <c r="BM160" s="146" t="s">
        <v>469</v>
      </c>
    </row>
    <row r="161" spans="1:47" s="2" customFormat="1" ht="97.5">
      <c r="A161" s="30"/>
      <c r="B161" s="31"/>
      <c r="C161" s="30"/>
      <c r="D161" s="149" t="s">
        <v>142</v>
      </c>
      <c r="E161" s="30"/>
      <c r="F161" s="162" t="s">
        <v>470</v>
      </c>
      <c r="G161" s="30"/>
      <c r="H161" s="30"/>
      <c r="I161" s="270"/>
      <c r="J161" s="30"/>
      <c r="K161" s="30"/>
      <c r="L161" s="31"/>
      <c r="M161" s="163"/>
      <c r="N161" s="164"/>
      <c r="O161" s="51"/>
      <c r="P161" s="51"/>
      <c r="Q161" s="51"/>
      <c r="R161" s="51"/>
      <c r="S161" s="51"/>
      <c r="T161" s="52"/>
      <c r="U161" s="30"/>
      <c r="V161" s="30"/>
      <c r="W161" s="30"/>
      <c r="X161" s="30"/>
      <c r="Y161" s="30"/>
      <c r="Z161" s="30"/>
      <c r="AA161" s="30"/>
      <c r="AB161" s="30"/>
      <c r="AC161" s="30"/>
      <c r="AD161" s="30"/>
      <c r="AE161" s="30"/>
      <c r="AT161" s="18" t="s">
        <v>142</v>
      </c>
      <c r="AU161" s="18" t="s">
        <v>82</v>
      </c>
    </row>
    <row r="162" spans="1:65" s="2" customFormat="1" ht="24.2" customHeight="1">
      <c r="A162" s="30"/>
      <c r="B162" s="135"/>
      <c r="C162" s="172">
        <v>29</v>
      </c>
      <c r="D162" s="172" t="s">
        <v>146</v>
      </c>
      <c r="E162" s="173" t="s">
        <v>471</v>
      </c>
      <c r="F162" s="174" t="s">
        <v>946</v>
      </c>
      <c r="G162" s="175" t="s">
        <v>140</v>
      </c>
      <c r="H162" s="176">
        <v>2</v>
      </c>
      <c r="I162" s="272"/>
      <c r="J162" s="177">
        <f>ROUND(I162*H162,2)</f>
        <v>0</v>
      </c>
      <c r="K162" s="174" t="s">
        <v>137</v>
      </c>
      <c r="L162" s="178"/>
      <c r="M162" s="179" t="s">
        <v>3</v>
      </c>
      <c r="N162" s="180" t="s">
        <v>43</v>
      </c>
      <c r="O162" s="144">
        <v>0</v>
      </c>
      <c r="P162" s="144">
        <f>O162*H162</f>
        <v>0</v>
      </c>
      <c r="Q162" s="144">
        <v>0</v>
      </c>
      <c r="R162" s="144">
        <f>Q162*H162</f>
        <v>0</v>
      </c>
      <c r="S162" s="144">
        <v>0</v>
      </c>
      <c r="T162" s="145">
        <f>S162*H162</f>
        <v>0</v>
      </c>
      <c r="U162" s="30"/>
      <c r="V162" s="266"/>
      <c r="W162" s="267"/>
      <c r="X162" s="30"/>
      <c r="Y162" s="30"/>
      <c r="Z162" s="30"/>
      <c r="AA162" s="30"/>
      <c r="AB162" s="30"/>
      <c r="AC162" s="30"/>
      <c r="AD162" s="30"/>
      <c r="AE162" s="30"/>
      <c r="AR162" s="146" t="s">
        <v>162</v>
      </c>
      <c r="AT162" s="146" t="s">
        <v>146</v>
      </c>
      <c r="AU162" s="146" t="s">
        <v>82</v>
      </c>
      <c r="AY162" s="18" t="s">
        <v>133</v>
      </c>
      <c r="BE162" s="147">
        <f>IF(N162="základní",J162,0)</f>
        <v>0</v>
      </c>
      <c r="BF162" s="147">
        <f>IF(N162="snížená",J162,0)</f>
        <v>0</v>
      </c>
      <c r="BG162" s="147">
        <f>IF(N162="zákl. přenesená",J162,0)</f>
        <v>0</v>
      </c>
      <c r="BH162" s="147">
        <f>IF(N162="sníž. přenesená",J162,0)</f>
        <v>0</v>
      </c>
      <c r="BI162" s="147">
        <f>IF(N162="nulová",J162,0)</f>
        <v>0</v>
      </c>
      <c r="BJ162" s="18" t="s">
        <v>80</v>
      </c>
      <c r="BK162" s="147">
        <f>ROUND(I162*H162,2)</f>
        <v>0</v>
      </c>
      <c r="BL162" s="18" t="s">
        <v>154</v>
      </c>
      <c r="BM162" s="146" t="s">
        <v>472</v>
      </c>
    </row>
    <row r="163" spans="1:65" s="2" customFormat="1" ht="24.2" customHeight="1">
      <c r="A163" s="309"/>
      <c r="B163" s="135"/>
      <c r="C163" s="172">
        <v>29</v>
      </c>
      <c r="D163" s="172" t="s">
        <v>146</v>
      </c>
      <c r="E163" s="173" t="s">
        <v>1010</v>
      </c>
      <c r="F163" s="174" t="s">
        <v>1009</v>
      </c>
      <c r="G163" s="175" t="s">
        <v>140</v>
      </c>
      <c r="H163" s="176">
        <v>1</v>
      </c>
      <c r="I163" s="272"/>
      <c r="J163" s="177">
        <f>ROUND(I163*H163,2)</f>
        <v>0</v>
      </c>
      <c r="K163" s="174" t="s">
        <v>137</v>
      </c>
      <c r="L163" s="178"/>
      <c r="M163" s="179" t="s">
        <v>3</v>
      </c>
      <c r="N163" s="180" t="s">
        <v>43</v>
      </c>
      <c r="O163" s="144">
        <v>0</v>
      </c>
      <c r="P163" s="144">
        <f>O163*H163</f>
        <v>0</v>
      </c>
      <c r="Q163" s="144">
        <v>0</v>
      </c>
      <c r="R163" s="144">
        <f>Q163*H163</f>
        <v>0</v>
      </c>
      <c r="S163" s="144">
        <v>0</v>
      </c>
      <c r="T163" s="145">
        <f>S163*H163</f>
        <v>0</v>
      </c>
      <c r="U163" s="309"/>
      <c r="V163" s="266"/>
      <c r="W163" s="267"/>
      <c r="X163" s="309"/>
      <c r="Y163" s="309"/>
      <c r="Z163" s="309"/>
      <c r="AA163" s="309"/>
      <c r="AB163" s="309"/>
      <c r="AC163" s="309"/>
      <c r="AD163" s="309"/>
      <c r="AE163" s="309"/>
      <c r="AR163" s="146" t="s">
        <v>162</v>
      </c>
      <c r="AT163" s="146" t="s">
        <v>146</v>
      </c>
      <c r="AU163" s="146" t="s">
        <v>82</v>
      </c>
      <c r="AY163" s="18" t="s">
        <v>133</v>
      </c>
      <c r="BE163" s="147">
        <f>IF(N163="základní",J163,0)</f>
        <v>0</v>
      </c>
      <c r="BF163" s="147">
        <f>IF(N163="snížená",J163,0)</f>
        <v>0</v>
      </c>
      <c r="BG163" s="147">
        <f>IF(N163="zákl. přenesená",J163,0)</f>
        <v>0</v>
      </c>
      <c r="BH163" s="147">
        <f>IF(N163="sníž. přenesená",J163,0)</f>
        <v>0</v>
      </c>
      <c r="BI163" s="147">
        <f>IF(N163="nulová",J163,0)</f>
        <v>0</v>
      </c>
      <c r="BJ163" s="18" t="s">
        <v>80</v>
      </c>
      <c r="BK163" s="147">
        <f>ROUND(I163*H163,2)</f>
        <v>0</v>
      </c>
      <c r="BL163" s="18" t="s">
        <v>154</v>
      </c>
      <c r="BM163" s="146" t="s">
        <v>472</v>
      </c>
    </row>
    <row r="164" spans="1:65" s="2" customFormat="1" ht="24.2" customHeight="1">
      <c r="A164" s="30"/>
      <c r="B164" s="135"/>
      <c r="C164" s="136">
        <v>30</v>
      </c>
      <c r="D164" s="136" t="s">
        <v>136</v>
      </c>
      <c r="E164" s="137" t="s">
        <v>473</v>
      </c>
      <c r="F164" s="138" t="s">
        <v>1006</v>
      </c>
      <c r="G164" s="139" t="s">
        <v>140</v>
      </c>
      <c r="H164" s="140">
        <v>3</v>
      </c>
      <c r="I164" s="269"/>
      <c r="J164" s="141">
        <f>ROUND(I164*H164,2)</f>
        <v>0</v>
      </c>
      <c r="K164" s="138" t="s">
        <v>141</v>
      </c>
      <c r="L164" s="31"/>
      <c r="M164" s="142" t="s">
        <v>3</v>
      </c>
      <c r="N164" s="143" t="s">
        <v>43</v>
      </c>
      <c r="O164" s="144">
        <v>0.32</v>
      </c>
      <c r="P164" s="144">
        <f>O164*H164</f>
        <v>0.96</v>
      </c>
      <c r="Q164" s="144">
        <v>4E-05</v>
      </c>
      <c r="R164" s="144">
        <f>Q164*H164</f>
        <v>0.00012000000000000002</v>
      </c>
      <c r="S164" s="144">
        <v>0</v>
      </c>
      <c r="T164" s="145">
        <f>S164*H164</f>
        <v>0</v>
      </c>
      <c r="U164" s="30"/>
      <c r="V164" s="30"/>
      <c r="W164" s="30"/>
      <c r="X164" s="30"/>
      <c r="Y164" s="30"/>
      <c r="Z164" s="30"/>
      <c r="AA164" s="30"/>
      <c r="AB164" s="30"/>
      <c r="AC164" s="30"/>
      <c r="AD164" s="30"/>
      <c r="AE164" s="30"/>
      <c r="AR164" s="146" t="s">
        <v>154</v>
      </c>
      <c r="AT164" s="146" t="s">
        <v>136</v>
      </c>
      <c r="AU164" s="146" t="s">
        <v>82</v>
      </c>
      <c r="AY164" s="18" t="s">
        <v>133</v>
      </c>
      <c r="BE164" s="147">
        <f>IF(N164="základní",J164,0)</f>
        <v>0</v>
      </c>
      <c r="BF164" s="147">
        <f>IF(N164="snížená",J164,0)</f>
        <v>0</v>
      </c>
      <c r="BG164" s="147">
        <f>IF(N164="zákl. přenesená",J164,0)</f>
        <v>0</v>
      </c>
      <c r="BH164" s="147">
        <f>IF(N164="sníž. přenesená",J164,0)</f>
        <v>0</v>
      </c>
      <c r="BI164" s="147">
        <f>IF(N164="nulová",J164,0)</f>
        <v>0</v>
      </c>
      <c r="BJ164" s="18" t="s">
        <v>80</v>
      </c>
      <c r="BK164" s="147">
        <f>ROUND(I164*H164,2)</f>
        <v>0</v>
      </c>
      <c r="BL164" s="18" t="s">
        <v>154</v>
      </c>
      <c r="BM164" s="146" t="s">
        <v>474</v>
      </c>
    </row>
    <row r="165" spans="1:47" s="2" customFormat="1" ht="29.25">
      <c r="A165" s="30"/>
      <c r="B165" s="31"/>
      <c r="C165" s="30"/>
      <c r="D165" s="149" t="s">
        <v>142</v>
      </c>
      <c r="E165" s="30"/>
      <c r="F165" s="162" t="s">
        <v>475</v>
      </c>
      <c r="G165" s="30"/>
      <c r="H165" s="30"/>
      <c r="I165" s="270"/>
      <c r="J165" s="30"/>
      <c r="K165" s="30"/>
      <c r="L165" s="31"/>
      <c r="M165" s="163"/>
      <c r="N165" s="164"/>
      <c r="O165" s="51"/>
      <c r="P165" s="51"/>
      <c r="Q165" s="51"/>
      <c r="R165" s="51"/>
      <c r="S165" s="51"/>
      <c r="T165" s="52"/>
      <c r="U165" s="30"/>
      <c r="V165" s="30"/>
      <c r="W165" s="30"/>
      <c r="X165" s="30"/>
      <c r="Y165" s="30"/>
      <c r="Z165" s="30"/>
      <c r="AA165" s="30"/>
      <c r="AB165" s="30"/>
      <c r="AC165" s="30"/>
      <c r="AD165" s="30"/>
      <c r="AE165" s="30"/>
      <c r="AT165" s="18" t="s">
        <v>142</v>
      </c>
      <c r="AU165" s="18" t="s">
        <v>82</v>
      </c>
    </row>
    <row r="166" spans="1:65" s="2" customFormat="1" ht="24.2" customHeight="1">
      <c r="A166" s="30"/>
      <c r="B166" s="135"/>
      <c r="C166" s="172">
        <v>31</v>
      </c>
      <c r="D166" s="172" t="s">
        <v>146</v>
      </c>
      <c r="E166" s="173" t="s">
        <v>476</v>
      </c>
      <c r="F166" s="174" t="s">
        <v>1007</v>
      </c>
      <c r="G166" s="175" t="s">
        <v>140</v>
      </c>
      <c r="H166" s="176">
        <v>2</v>
      </c>
      <c r="I166" s="272"/>
      <c r="J166" s="177">
        <f>ROUND(I166*H166,2)</f>
        <v>0</v>
      </c>
      <c r="K166" s="174" t="s">
        <v>137</v>
      </c>
      <c r="L166" s="178"/>
      <c r="M166" s="179" t="s">
        <v>3</v>
      </c>
      <c r="N166" s="180" t="s">
        <v>43</v>
      </c>
      <c r="O166" s="144">
        <v>0</v>
      </c>
      <c r="P166" s="144">
        <f>O166*H166</f>
        <v>0</v>
      </c>
      <c r="Q166" s="144">
        <v>0</v>
      </c>
      <c r="R166" s="144">
        <f>Q166*H166</f>
        <v>0</v>
      </c>
      <c r="S166" s="144">
        <v>0</v>
      </c>
      <c r="T166" s="145">
        <f>S166*H166</f>
        <v>0</v>
      </c>
      <c r="U166" s="30"/>
      <c r="V166" s="30"/>
      <c r="W166" s="30"/>
      <c r="X166" s="30"/>
      <c r="Y166" s="30"/>
      <c r="Z166" s="30"/>
      <c r="AA166" s="30"/>
      <c r="AB166" s="30"/>
      <c r="AC166" s="30"/>
      <c r="AD166" s="30"/>
      <c r="AE166" s="30"/>
      <c r="AR166" s="146" t="s">
        <v>162</v>
      </c>
      <c r="AT166" s="146" t="s">
        <v>146</v>
      </c>
      <c r="AU166" s="146" t="s">
        <v>82</v>
      </c>
      <c r="AY166" s="18" t="s">
        <v>133</v>
      </c>
      <c r="BE166" s="147">
        <f>IF(N166="základní",J166,0)</f>
        <v>0</v>
      </c>
      <c r="BF166" s="147">
        <f>IF(N166="snížená",J166,0)</f>
        <v>0</v>
      </c>
      <c r="BG166" s="147">
        <f>IF(N166="zákl. přenesená",J166,0)</f>
        <v>0</v>
      </c>
      <c r="BH166" s="147">
        <f>IF(N166="sníž. přenesená",J166,0)</f>
        <v>0</v>
      </c>
      <c r="BI166" s="147">
        <f>IF(N166="nulová",J166,0)</f>
        <v>0</v>
      </c>
      <c r="BJ166" s="18" t="s">
        <v>80</v>
      </c>
      <c r="BK166" s="147">
        <f>ROUND(I166*H166,2)</f>
        <v>0</v>
      </c>
      <c r="BL166" s="18" t="s">
        <v>154</v>
      </c>
      <c r="BM166" s="146" t="s">
        <v>477</v>
      </c>
    </row>
    <row r="167" spans="1:65" s="2" customFormat="1" ht="24.2" customHeight="1">
      <c r="A167" s="309"/>
      <c r="B167" s="135"/>
      <c r="C167" s="172">
        <v>31</v>
      </c>
      <c r="D167" s="172" t="s">
        <v>146</v>
      </c>
      <c r="E167" s="173" t="s">
        <v>1008</v>
      </c>
      <c r="F167" s="174" t="s">
        <v>1007</v>
      </c>
      <c r="G167" s="175" t="s">
        <v>140</v>
      </c>
      <c r="H167" s="176">
        <v>1</v>
      </c>
      <c r="I167" s="272"/>
      <c r="J167" s="177">
        <f>ROUND(I167*H167,2)</f>
        <v>0</v>
      </c>
      <c r="K167" s="174" t="s">
        <v>137</v>
      </c>
      <c r="L167" s="178"/>
      <c r="M167" s="179" t="s">
        <v>3</v>
      </c>
      <c r="N167" s="180" t="s">
        <v>43</v>
      </c>
      <c r="O167" s="144">
        <v>0</v>
      </c>
      <c r="P167" s="144">
        <f>O167*H167</f>
        <v>0</v>
      </c>
      <c r="Q167" s="144">
        <v>0</v>
      </c>
      <c r="R167" s="144">
        <f>Q167*H167</f>
        <v>0</v>
      </c>
      <c r="S167" s="144">
        <v>0</v>
      </c>
      <c r="T167" s="145">
        <f>S167*H167</f>
        <v>0</v>
      </c>
      <c r="U167" s="309"/>
      <c r="V167" s="309"/>
      <c r="W167" s="309"/>
      <c r="X167" s="309"/>
      <c r="Y167" s="309"/>
      <c r="Z167" s="309"/>
      <c r="AA167" s="309"/>
      <c r="AB167" s="309"/>
      <c r="AC167" s="309"/>
      <c r="AD167" s="309"/>
      <c r="AE167" s="309"/>
      <c r="AR167" s="146" t="s">
        <v>162</v>
      </c>
      <c r="AT167" s="146" t="s">
        <v>146</v>
      </c>
      <c r="AU167" s="146" t="s">
        <v>82</v>
      </c>
      <c r="AY167" s="18" t="s">
        <v>133</v>
      </c>
      <c r="BE167" s="147">
        <f>IF(N167="základní",J167,0)</f>
        <v>0</v>
      </c>
      <c r="BF167" s="147">
        <f>IF(N167="snížená",J167,0)</f>
        <v>0</v>
      </c>
      <c r="BG167" s="147">
        <f>IF(N167="zákl. přenesená",J167,0)</f>
        <v>0</v>
      </c>
      <c r="BH167" s="147">
        <f>IF(N167="sníž. přenesená",J167,0)</f>
        <v>0</v>
      </c>
      <c r="BI167" s="147">
        <f>IF(N167="nulová",J167,0)</f>
        <v>0</v>
      </c>
      <c r="BJ167" s="18" t="s">
        <v>80</v>
      </c>
      <c r="BK167" s="147">
        <f>ROUND(I167*H167,2)</f>
        <v>0</v>
      </c>
      <c r="BL167" s="18" t="s">
        <v>154</v>
      </c>
      <c r="BM167" s="146" t="s">
        <v>477</v>
      </c>
    </row>
    <row r="168" spans="1:65" s="2" customFormat="1" ht="24.2" customHeight="1">
      <c r="A168" s="30"/>
      <c r="B168" s="135"/>
      <c r="C168" s="136">
        <v>32</v>
      </c>
      <c r="D168" s="136" t="s">
        <v>136</v>
      </c>
      <c r="E168" s="137" t="s">
        <v>478</v>
      </c>
      <c r="F168" s="138" t="s">
        <v>479</v>
      </c>
      <c r="G168" s="139" t="s">
        <v>140</v>
      </c>
      <c r="H168" s="140">
        <v>2</v>
      </c>
      <c r="I168" s="269"/>
      <c r="J168" s="141">
        <f>ROUND(I168*H168,2)</f>
        <v>0</v>
      </c>
      <c r="K168" s="138" t="s">
        <v>141</v>
      </c>
      <c r="L168" s="31"/>
      <c r="M168" s="142" t="s">
        <v>3</v>
      </c>
      <c r="N168" s="143" t="s">
        <v>43</v>
      </c>
      <c r="O168" s="144">
        <v>0.113</v>
      </c>
      <c r="P168" s="144">
        <f>O168*H168</f>
        <v>0.226</v>
      </c>
      <c r="Q168" s="144">
        <v>0.00024</v>
      </c>
      <c r="R168" s="144">
        <f>Q168*H168</f>
        <v>0.00048</v>
      </c>
      <c r="S168" s="144">
        <v>0</v>
      </c>
      <c r="T168" s="145">
        <f>S168*H168</f>
        <v>0</v>
      </c>
      <c r="U168" s="30"/>
      <c r="V168" s="30"/>
      <c r="W168" s="30"/>
      <c r="X168" s="30"/>
      <c r="Y168" s="30"/>
      <c r="Z168" s="30"/>
      <c r="AA168" s="30"/>
      <c r="AB168" s="30"/>
      <c r="AC168" s="30"/>
      <c r="AD168" s="30"/>
      <c r="AE168" s="30"/>
      <c r="AR168" s="146" t="s">
        <v>154</v>
      </c>
      <c r="AT168" s="146" t="s">
        <v>136</v>
      </c>
      <c r="AU168" s="146" t="s">
        <v>82</v>
      </c>
      <c r="AY168" s="18" t="s">
        <v>133</v>
      </c>
      <c r="BE168" s="147">
        <f>IF(N168="základní",J168,0)</f>
        <v>0</v>
      </c>
      <c r="BF168" s="147">
        <f>IF(N168="snížená",J168,0)</f>
        <v>0</v>
      </c>
      <c r="BG168" s="147">
        <f>IF(N168="zákl. přenesená",J168,0)</f>
        <v>0</v>
      </c>
      <c r="BH168" s="147">
        <f>IF(N168="sníž. přenesená",J168,0)</f>
        <v>0</v>
      </c>
      <c r="BI168" s="147">
        <f>IF(N168="nulová",J168,0)</f>
        <v>0</v>
      </c>
      <c r="BJ168" s="18" t="s">
        <v>80</v>
      </c>
      <c r="BK168" s="147">
        <f>ROUND(I168*H168,2)</f>
        <v>0</v>
      </c>
      <c r="BL168" s="18" t="s">
        <v>154</v>
      </c>
      <c r="BM168" s="146" t="s">
        <v>480</v>
      </c>
    </row>
    <row r="169" spans="1:47" s="2" customFormat="1" ht="97.5">
      <c r="A169" s="30"/>
      <c r="B169" s="31"/>
      <c r="C169" s="30"/>
      <c r="D169" s="149" t="s">
        <v>142</v>
      </c>
      <c r="E169" s="30"/>
      <c r="F169" s="162" t="s">
        <v>481</v>
      </c>
      <c r="G169" s="30"/>
      <c r="H169" s="30"/>
      <c r="I169" s="270"/>
      <c r="J169" s="30"/>
      <c r="K169" s="30"/>
      <c r="L169" s="31"/>
      <c r="M169" s="163"/>
      <c r="N169" s="164"/>
      <c r="O169" s="51"/>
      <c r="P169" s="51"/>
      <c r="Q169" s="51"/>
      <c r="R169" s="51"/>
      <c r="S169" s="51"/>
      <c r="T169" s="52"/>
      <c r="U169" s="30"/>
      <c r="V169" s="30"/>
      <c r="W169" s="30"/>
      <c r="X169" s="30"/>
      <c r="Y169" s="30"/>
      <c r="Z169" s="30"/>
      <c r="AA169" s="30"/>
      <c r="AB169" s="30"/>
      <c r="AC169" s="30"/>
      <c r="AD169" s="30"/>
      <c r="AE169" s="30"/>
      <c r="AT169" s="18" t="s">
        <v>142</v>
      </c>
      <c r="AU169" s="18" t="s">
        <v>82</v>
      </c>
    </row>
    <row r="170" spans="1:65" s="2" customFormat="1" ht="24.2" customHeight="1">
      <c r="A170" s="30"/>
      <c r="B170" s="135"/>
      <c r="C170" s="136">
        <v>33</v>
      </c>
      <c r="D170" s="136" t="s">
        <v>136</v>
      </c>
      <c r="E170" s="137" t="s">
        <v>482</v>
      </c>
      <c r="F170" s="138" t="s">
        <v>483</v>
      </c>
      <c r="G170" s="139" t="s">
        <v>140</v>
      </c>
      <c r="H170" s="140">
        <v>2</v>
      </c>
      <c r="I170" s="269"/>
      <c r="J170" s="141">
        <f>ROUND(I170*H170,2)</f>
        <v>0</v>
      </c>
      <c r="K170" s="138" t="s">
        <v>141</v>
      </c>
      <c r="L170" s="31"/>
      <c r="M170" s="142" t="s">
        <v>3</v>
      </c>
      <c r="N170" s="143" t="s">
        <v>43</v>
      </c>
      <c r="O170" s="144">
        <v>0.113</v>
      </c>
      <c r="P170" s="144">
        <f>O170*H170</f>
        <v>0.226</v>
      </c>
      <c r="Q170" s="144">
        <v>0.00028</v>
      </c>
      <c r="R170" s="144">
        <f>Q170*H170</f>
        <v>0.00056</v>
      </c>
      <c r="S170" s="144">
        <v>0</v>
      </c>
      <c r="T170" s="145">
        <f>S170*H170</f>
        <v>0</v>
      </c>
      <c r="U170" s="30"/>
      <c r="V170" s="30"/>
      <c r="W170" s="30"/>
      <c r="X170" s="30"/>
      <c r="Y170" s="30"/>
      <c r="Z170" s="30"/>
      <c r="AA170" s="30"/>
      <c r="AB170" s="30"/>
      <c r="AC170" s="30"/>
      <c r="AD170" s="30"/>
      <c r="AE170" s="30"/>
      <c r="AR170" s="146" t="s">
        <v>154</v>
      </c>
      <c r="AT170" s="146" t="s">
        <v>136</v>
      </c>
      <c r="AU170" s="146" t="s">
        <v>82</v>
      </c>
      <c r="AY170" s="18" t="s">
        <v>133</v>
      </c>
      <c r="BE170" s="147">
        <f>IF(N170="základní",J170,0)</f>
        <v>0</v>
      </c>
      <c r="BF170" s="147">
        <f>IF(N170="snížená",J170,0)</f>
        <v>0</v>
      </c>
      <c r="BG170" s="147">
        <f>IF(N170="zákl. přenesená",J170,0)</f>
        <v>0</v>
      </c>
      <c r="BH170" s="147">
        <f>IF(N170="sníž. přenesená",J170,0)</f>
        <v>0</v>
      </c>
      <c r="BI170" s="147">
        <f>IF(N170="nulová",J170,0)</f>
        <v>0</v>
      </c>
      <c r="BJ170" s="18" t="s">
        <v>80</v>
      </c>
      <c r="BK170" s="147">
        <f>ROUND(I170*H170,2)</f>
        <v>0</v>
      </c>
      <c r="BL170" s="18" t="s">
        <v>154</v>
      </c>
      <c r="BM170" s="146" t="s">
        <v>484</v>
      </c>
    </row>
    <row r="171" spans="1:47" s="2" customFormat="1" ht="97.5">
      <c r="A171" s="30"/>
      <c r="B171" s="31"/>
      <c r="C171" s="30"/>
      <c r="D171" s="149" t="s">
        <v>142</v>
      </c>
      <c r="E171" s="30"/>
      <c r="F171" s="162" t="s">
        <v>481</v>
      </c>
      <c r="G171" s="30"/>
      <c r="H171" s="30"/>
      <c r="I171" s="270"/>
      <c r="J171" s="30"/>
      <c r="K171" s="30"/>
      <c r="L171" s="31"/>
      <c r="M171" s="163"/>
      <c r="N171" s="164"/>
      <c r="O171" s="51"/>
      <c r="P171" s="51"/>
      <c r="Q171" s="51"/>
      <c r="R171" s="51"/>
      <c r="S171" s="51"/>
      <c r="T171" s="52"/>
      <c r="U171" s="30"/>
      <c r="V171" s="30"/>
      <c r="W171" s="30"/>
      <c r="X171" s="30"/>
      <c r="Y171" s="30"/>
      <c r="Z171" s="30"/>
      <c r="AA171" s="30"/>
      <c r="AB171" s="30"/>
      <c r="AC171" s="30"/>
      <c r="AD171" s="30"/>
      <c r="AE171" s="30"/>
      <c r="AT171" s="18" t="s">
        <v>142</v>
      </c>
      <c r="AU171" s="18" t="s">
        <v>82</v>
      </c>
    </row>
    <row r="172" spans="1:65" s="2" customFormat="1" ht="37.9" customHeight="1">
      <c r="A172" s="30"/>
      <c r="B172" s="135"/>
      <c r="C172" s="136">
        <v>34</v>
      </c>
      <c r="D172" s="136" t="s">
        <v>136</v>
      </c>
      <c r="E172" s="137" t="s">
        <v>485</v>
      </c>
      <c r="F172" s="138" t="s">
        <v>486</v>
      </c>
      <c r="G172" s="139" t="s">
        <v>229</v>
      </c>
      <c r="H172" s="140">
        <f>SUM(J151:J171)/100</f>
        <v>0</v>
      </c>
      <c r="I172" s="269"/>
      <c r="J172" s="141">
        <f>ROUND(I172*H172,2)</f>
        <v>0</v>
      </c>
      <c r="K172" s="138" t="s">
        <v>141</v>
      </c>
      <c r="L172" s="31"/>
      <c r="M172" s="142" t="s">
        <v>3</v>
      </c>
      <c r="N172" s="143" t="s">
        <v>43</v>
      </c>
      <c r="O172" s="144">
        <v>0</v>
      </c>
      <c r="P172" s="144">
        <f>O172*H172</f>
        <v>0</v>
      </c>
      <c r="Q172" s="144">
        <v>0</v>
      </c>
      <c r="R172" s="144">
        <f>Q172*H172</f>
        <v>0</v>
      </c>
      <c r="S172" s="144">
        <v>0</v>
      </c>
      <c r="T172" s="145">
        <f>S172*H172</f>
        <v>0</v>
      </c>
      <c r="U172" s="30"/>
      <c r="V172" s="30"/>
      <c r="W172" s="30"/>
      <c r="X172" s="30"/>
      <c r="Y172" s="30"/>
      <c r="Z172" s="30"/>
      <c r="AA172" s="30"/>
      <c r="AB172" s="30"/>
      <c r="AC172" s="30"/>
      <c r="AD172" s="30"/>
      <c r="AE172" s="30"/>
      <c r="AR172" s="146" t="s">
        <v>154</v>
      </c>
      <c r="AT172" s="146" t="s">
        <v>136</v>
      </c>
      <c r="AU172" s="146" t="s">
        <v>82</v>
      </c>
      <c r="AY172" s="18" t="s">
        <v>133</v>
      </c>
      <c r="BE172" s="147">
        <f>IF(N172="základní",J172,0)</f>
        <v>0</v>
      </c>
      <c r="BF172" s="147">
        <f>IF(N172="snížená",J172,0)</f>
        <v>0</v>
      </c>
      <c r="BG172" s="147">
        <f>IF(N172="zákl. přenesená",J172,0)</f>
        <v>0</v>
      </c>
      <c r="BH172" s="147">
        <f>IF(N172="sníž. přenesená",J172,0)</f>
        <v>0</v>
      </c>
      <c r="BI172" s="147">
        <f>IF(N172="nulová",J172,0)</f>
        <v>0</v>
      </c>
      <c r="BJ172" s="18" t="s">
        <v>80</v>
      </c>
      <c r="BK172" s="147">
        <f>ROUND(I172*H172,2)</f>
        <v>0</v>
      </c>
      <c r="BL172" s="18" t="s">
        <v>154</v>
      </c>
      <c r="BM172" s="146" t="s">
        <v>487</v>
      </c>
    </row>
    <row r="173" spans="1:47" s="2" customFormat="1" ht="126.75">
      <c r="A173" s="30"/>
      <c r="B173" s="31"/>
      <c r="C173" s="30"/>
      <c r="D173" s="149" t="s">
        <v>142</v>
      </c>
      <c r="E173" s="30"/>
      <c r="F173" s="162" t="s">
        <v>283</v>
      </c>
      <c r="G173" s="30"/>
      <c r="H173" s="30"/>
      <c r="I173" s="270"/>
      <c r="J173" s="30"/>
      <c r="K173" s="30"/>
      <c r="L173" s="31"/>
      <c r="M173" s="163"/>
      <c r="N173" s="164"/>
      <c r="O173" s="51"/>
      <c r="P173" s="51"/>
      <c r="Q173" s="51"/>
      <c r="R173" s="51"/>
      <c r="S173" s="51"/>
      <c r="T173" s="52"/>
      <c r="U173" s="30"/>
      <c r="V173" s="30"/>
      <c r="W173" s="30"/>
      <c r="X173" s="30"/>
      <c r="Y173" s="30"/>
      <c r="Z173" s="30"/>
      <c r="AA173" s="30"/>
      <c r="AB173" s="30"/>
      <c r="AC173" s="30"/>
      <c r="AD173" s="30"/>
      <c r="AE173" s="30"/>
      <c r="AT173" s="18" t="s">
        <v>142</v>
      </c>
      <c r="AU173" s="18" t="s">
        <v>82</v>
      </c>
    </row>
    <row r="174" spans="1:65" s="2" customFormat="1" ht="49.15" customHeight="1">
      <c r="A174" s="30"/>
      <c r="B174" s="135"/>
      <c r="C174" s="136">
        <v>35</v>
      </c>
      <c r="D174" s="136" t="s">
        <v>136</v>
      </c>
      <c r="E174" s="137" t="s">
        <v>488</v>
      </c>
      <c r="F174" s="138" t="s">
        <v>489</v>
      </c>
      <c r="G174" s="139" t="s">
        <v>229</v>
      </c>
      <c r="H174" s="140">
        <f>H172</f>
        <v>0</v>
      </c>
      <c r="I174" s="269"/>
      <c r="J174" s="141">
        <f>ROUND(I174*H174,2)</f>
        <v>0</v>
      </c>
      <c r="K174" s="138" t="s">
        <v>141</v>
      </c>
      <c r="L174" s="31"/>
      <c r="M174" s="142" t="s">
        <v>3</v>
      </c>
      <c r="N174" s="143" t="s">
        <v>43</v>
      </c>
      <c r="O174" s="144">
        <v>0</v>
      </c>
      <c r="P174" s="144">
        <f>O174*H174</f>
        <v>0</v>
      </c>
      <c r="Q174" s="144">
        <v>0</v>
      </c>
      <c r="R174" s="144">
        <f>Q174*H174</f>
        <v>0</v>
      </c>
      <c r="S174" s="144">
        <v>0</v>
      </c>
      <c r="T174" s="145">
        <f>S174*H174</f>
        <v>0</v>
      </c>
      <c r="U174" s="30"/>
      <c r="V174" s="30"/>
      <c r="W174" s="30"/>
      <c r="X174" s="30"/>
      <c r="Y174" s="30"/>
      <c r="Z174" s="30"/>
      <c r="AA174" s="30"/>
      <c r="AB174" s="30"/>
      <c r="AC174" s="30"/>
      <c r="AD174" s="30"/>
      <c r="AE174" s="30"/>
      <c r="AR174" s="146" t="s">
        <v>154</v>
      </c>
      <c r="AT174" s="146" t="s">
        <v>136</v>
      </c>
      <c r="AU174" s="146" t="s">
        <v>82</v>
      </c>
      <c r="AY174" s="18" t="s">
        <v>133</v>
      </c>
      <c r="BE174" s="147">
        <f>IF(N174="základní",J174,0)</f>
        <v>0</v>
      </c>
      <c r="BF174" s="147">
        <f>IF(N174="snížená",J174,0)</f>
        <v>0</v>
      </c>
      <c r="BG174" s="147">
        <f>IF(N174="zákl. přenesená",J174,0)</f>
        <v>0</v>
      </c>
      <c r="BH174" s="147">
        <f>IF(N174="sníž. přenesená",J174,0)</f>
        <v>0</v>
      </c>
      <c r="BI174" s="147">
        <f>IF(N174="nulová",J174,0)</f>
        <v>0</v>
      </c>
      <c r="BJ174" s="18" t="s">
        <v>80</v>
      </c>
      <c r="BK174" s="147">
        <f>ROUND(I174*H174,2)</f>
        <v>0</v>
      </c>
      <c r="BL174" s="18" t="s">
        <v>154</v>
      </c>
      <c r="BM174" s="146" t="s">
        <v>490</v>
      </c>
    </row>
    <row r="175" spans="1:47" s="2" customFormat="1" ht="126.75">
      <c r="A175" s="30"/>
      <c r="B175" s="31"/>
      <c r="C175" s="30"/>
      <c r="D175" s="149" t="s">
        <v>142</v>
      </c>
      <c r="E175" s="30"/>
      <c r="F175" s="162" t="s">
        <v>283</v>
      </c>
      <c r="G175" s="30"/>
      <c r="H175" s="30"/>
      <c r="I175" s="270"/>
      <c r="J175" s="30"/>
      <c r="K175" s="30"/>
      <c r="L175" s="31"/>
      <c r="M175" s="163"/>
      <c r="N175" s="164"/>
      <c r="O175" s="51"/>
      <c r="P175" s="51"/>
      <c r="Q175" s="51"/>
      <c r="R175" s="51"/>
      <c r="S175" s="51"/>
      <c r="T175" s="52"/>
      <c r="U175" s="30"/>
      <c r="V175" s="30"/>
      <c r="W175" s="30"/>
      <c r="X175" s="30"/>
      <c r="Y175" s="30"/>
      <c r="Z175" s="30"/>
      <c r="AA175" s="30"/>
      <c r="AB175" s="30"/>
      <c r="AC175" s="30"/>
      <c r="AD175" s="30"/>
      <c r="AE175" s="30"/>
      <c r="AT175" s="18" t="s">
        <v>142</v>
      </c>
      <c r="AU175" s="18" t="s">
        <v>82</v>
      </c>
    </row>
    <row r="176" spans="2:63" s="12" customFormat="1" ht="25.9" customHeight="1">
      <c r="B176" s="123"/>
      <c r="D176" s="124" t="s">
        <v>71</v>
      </c>
      <c r="E176" s="125" t="s">
        <v>491</v>
      </c>
      <c r="F176" s="125" t="s">
        <v>492</v>
      </c>
      <c r="J176" s="126">
        <f>BK176</f>
        <v>0</v>
      </c>
      <c r="L176" s="123"/>
      <c r="M176" s="127"/>
      <c r="N176" s="128"/>
      <c r="O176" s="128"/>
      <c r="P176" s="129">
        <f>SUM(P177:P178)</f>
        <v>6</v>
      </c>
      <c r="Q176" s="128"/>
      <c r="R176" s="129">
        <f>SUM(R177:R178)</f>
        <v>0</v>
      </c>
      <c r="S176" s="128"/>
      <c r="T176" s="130">
        <f>SUM(T177:T178)</f>
        <v>0</v>
      </c>
      <c r="AR176" s="124" t="s">
        <v>138</v>
      </c>
      <c r="AT176" s="131" t="s">
        <v>71</v>
      </c>
      <c r="AU176" s="131" t="s">
        <v>72</v>
      </c>
      <c r="AY176" s="124" t="s">
        <v>133</v>
      </c>
      <c r="BK176" s="132">
        <f>SUM(BK177:BK178)</f>
        <v>0</v>
      </c>
    </row>
    <row r="177" spans="1:65" s="2" customFormat="1" ht="24.2" customHeight="1">
      <c r="A177" s="30"/>
      <c r="B177" s="135"/>
      <c r="C177" s="136">
        <v>36</v>
      </c>
      <c r="D177" s="136" t="s">
        <v>136</v>
      </c>
      <c r="E177" s="137" t="s">
        <v>493</v>
      </c>
      <c r="F177" s="138" t="s">
        <v>494</v>
      </c>
      <c r="G177" s="139" t="s">
        <v>495</v>
      </c>
      <c r="H177" s="140">
        <v>6</v>
      </c>
      <c r="I177" s="141"/>
      <c r="J177" s="141">
        <f>ROUND(I177*H177,2)</f>
        <v>0</v>
      </c>
      <c r="K177" s="138" t="s">
        <v>141</v>
      </c>
      <c r="L177" s="31"/>
      <c r="M177" s="142" t="s">
        <v>3</v>
      </c>
      <c r="N177" s="143" t="s">
        <v>43</v>
      </c>
      <c r="O177" s="144">
        <v>1</v>
      </c>
      <c r="P177" s="144">
        <f>O177*H177</f>
        <v>6</v>
      </c>
      <c r="Q177" s="144">
        <v>0</v>
      </c>
      <c r="R177" s="144">
        <f>Q177*H177</f>
        <v>0</v>
      </c>
      <c r="S177" s="144">
        <v>0</v>
      </c>
      <c r="T177" s="145">
        <f>S177*H177</f>
        <v>0</v>
      </c>
      <c r="U177" s="30"/>
      <c r="V177" s="30"/>
      <c r="W177" s="30"/>
      <c r="X177" s="30"/>
      <c r="Y177" s="30"/>
      <c r="Z177" s="30"/>
      <c r="AA177" s="30"/>
      <c r="AB177" s="30"/>
      <c r="AC177" s="30"/>
      <c r="AD177" s="30"/>
      <c r="AE177" s="30"/>
      <c r="AR177" s="146" t="s">
        <v>496</v>
      </c>
      <c r="AT177" s="146" t="s">
        <v>136</v>
      </c>
      <c r="AU177" s="146" t="s">
        <v>80</v>
      </c>
      <c r="AY177" s="18" t="s">
        <v>133</v>
      </c>
      <c r="BE177" s="147">
        <f>IF(N177="základní",J177,0)</f>
        <v>0</v>
      </c>
      <c r="BF177" s="147">
        <f>IF(N177="snížená",J177,0)</f>
        <v>0</v>
      </c>
      <c r="BG177" s="147">
        <f>IF(N177="zákl. přenesená",J177,0)</f>
        <v>0</v>
      </c>
      <c r="BH177" s="147">
        <f>IF(N177="sníž. přenesená",J177,0)</f>
        <v>0</v>
      </c>
      <c r="BI177" s="147">
        <f>IF(N177="nulová",J177,0)</f>
        <v>0</v>
      </c>
      <c r="BJ177" s="18" t="s">
        <v>80</v>
      </c>
      <c r="BK177" s="147">
        <f>ROUND(I177*H177,2)</f>
        <v>0</v>
      </c>
      <c r="BL177" s="18" t="s">
        <v>496</v>
      </c>
      <c r="BM177" s="146" t="s">
        <v>497</v>
      </c>
    </row>
    <row r="178" spans="1:47" s="2" customFormat="1" ht="19.5">
      <c r="A178" s="30"/>
      <c r="B178" s="31"/>
      <c r="C178" s="30"/>
      <c r="D178" s="149" t="s">
        <v>170</v>
      </c>
      <c r="E178" s="30"/>
      <c r="F178" s="162" t="s">
        <v>498</v>
      </c>
      <c r="G178" s="30"/>
      <c r="H178" s="30"/>
      <c r="I178" s="30"/>
      <c r="J178" s="30"/>
      <c r="K178" s="30"/>
      <c r="L178" s="31"/>
      <c r="M178" s="163"/>
      <c r="N178" s="164"/>
      <c r="O178" s="51"/>
      <c r="P178" s="51"/>
      <c r="Q178" s="51"/>
      <c r="R178" s="51"/>
      <c r="S178" s="51"/>
      <c r="T178" s="52"/>
      <c r="U178" s="30"/>
      <c r="V178" s="30"/>
      <c r="W178" s="30"/>
      <c r="X178" s="30"/>
      <c r="Y178" s="30"/>
      <c r="Z178" s="30"/>
      <c r="AA178" s="30"/>
      <c r="AB178" s="30"/>
      <c r="AC178" s="30"/>
      <c r="AD178" s="30"/>
      <c r="AE178" s="30"/>
      <c r="AT178" s="18" t="s">
        <v>170</v>
      </c>
      <c r="AU178" s="18" t="s">
        <v>80</v>
      </c>
    </row>
  </sheetData>
  <autoFilter ref="C87:K178"/>
  <mergeCells count="9">
    <mergeCell ref="E50:H50"/>
    <mergeCell ref="E78:H78"/>
    <mergeCell ref="E80:H80"/>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3" manualBreakCount="3">
    <brk id="110" min="2" max="16383" man="1"/>
    <brk id="132" min="2" max="16383" man="1"/>
    <brk id="149" min="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0"/>
  <sheetViews>
    <sheetView showGridLines="0" view="pageBreakPreview" zoomScale="90" zoomScaleSheetLayoutView="90" workbookViewId="0" topLeftCell="A120">
      <selection activeCell="I128" sqref="I88:I12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17" t="s">
        <v>6</v>
      </c>
      <c r="M2" s="318"/>
      <c r="N2" s="318"/>
      <c r="O2" s="318"/>
      <c r="P2" s="318"/>
      <c r="Q2" s="318"/>
      <c r="R2" s="318"/>
      <c r="S2" s="318"/>
      <c r="T2" s="318"/>
      <c r="U2" s="318"/>
      <c r="V2" s="318"/>
      <c r="AT2" s="18" t="s">
        <v>88</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87" t="s">
        <v>11</v>
      </c>
      <c r="AT4" s="18" t="s">
        <v>4</v>
      </c>
    </row>
    <row r="5" spans="2:12" s="1" customFormat="1" ht="6.95" customHeight="1">
      <c r="B5" s="21"/>
      <c r="L5" s="21"/>
    </row>
    <row r="6" spans="2:12" s="1" customFormat="1" ht="12" customHeight="1">
      <c r="B6" s="21"/>
      <c r="D6" s="27" t="s">
        <v>14</v>
      </c>
      <c r="L6" s="21"/>
    </row>
    <row r="7" spans="2:12" s="1" customFormat="1" ht="23.25" customHeight="1">
      <c r="B7" s="21"/>
      <c r="E7" s="352" t="str">
        <f>'Rekapitulace stavby'!K6</f>
        <v>Modernizace prostor ambulancí chirurgického oddělení v suterénu budovy A - Nemocnice Nymburk, s.r.o.</v>
      </c>
      <c r="F7" s="353"/>
      <c r="G7" s="353"/>
      <c r="H7" s="353"/>
      <c r="L7" s="21"/>
    </row>
    <row r="8" spans="1:31" s="2" customFormat="1" ht="12" customHeight="1">
      <c r="A8" s="30"/>
      <c r="B8" s="31"/>
      <c r="C8" s="30"/>
      <c r="D8" s="27" t="s">
        <v>99</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42" t="s">
        <v>504</v>
      </c>
      <c r="F9" s="351"/>
      <c r="G9" s="351"/>
      <c r="H9" s="351"/>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16</v>
      </c>
      <c r="G11" s="30"/>
      <c r="H11" s="30"/>
      <c r="I11" s="27" t="s">
        <v>17</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19</v>
      </c>
      <c r="E12" s="30"/>
      <c r="F12" s="25" t="s">
        <v>20</v>
      </c>
      <c r="G12" s="30"/>
      <c r="H12" s="30"/>
      <c r="I12" s="27" t="s">
        <v>21</v>
      </c>
      <c r="J12" s="48">
        <f>'Rekapitulace stavby'!AN8</f>
        <v>44152</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24</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25</v>
      </c>
      <c r="F15" s="30"/>
      <c r="G15" s="30"/>
      <c r="H15" s="30"/>
      <c r="I15" s="27" t="s">
        <v>26</v>
      </c>
      <c r="J15" s="25" t="s">
        <v>27</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28</v>
      </c>
      <c r="E17" s="30"/>
      <c r="F17" s="30"/>
      <c r="G17" s="30"/>
      <c r="H17" s="30"/>
      <c r="I17" s="27" t="s">
        <v>23</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26" t="str">
        <f>'Rekapitulace stavby'!E14</f>
        <v xml:space="preserve"> </v>
      </c>
      <c r="F18" s="326"/>
      <c r="G18" s="326"/>
      <c r="H18" s="326"/>
      <c r="I18" s="27" t="s">
        <v>26</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30</v>
      </c>
      <c r="E20" s="30"/>
      <c r="F20" s="30"/>
      <c r="G20" s="30"/>
      <c r="H20" s="30"/>
      <c r="I20" s="27" t="s">
        <v>23</v>
      </c>
      <c r="J20" s="25" t="s">
        <v>31</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32</v>
      </c>
      <c r="F21" s="30"/>
      <c r="G21" s="30"/>
      <c r="H21" s="30"/>
      <c r="I21" s="27" t="s">
        <v>26</v>
      </c>
      <c r="J21" s="25" t="s">
        <v>33</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35</v>
      </c>
      <c r="E23" s="30"/>
      <c r="F23" s="30"/>
      <c r="G23" s="30"/>
      <c r="H23" s="30"/>
      <c r="I23" s="27" t="s">
        <v>23</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26</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28" t="s">
        <v>37</v>
      </c>
      <c r="F27" s="328"/>
      <c r="G27" s="328"/>
      <c r="H27" s="328"/>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38</v>
      </c>
      <c r="E30" s="30"/>
      <c r="F30" s="30"/>
      <c r="G30" s="30"/>
      <c r="H30" s="30"/>
      <c r="I30" s="30"/>
      <c r="J30" s="64">
        <f>ROUND(J85,2)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t="s">
        <v>39</v>
      </c>
      <c r="J32" s="34" t="s">
        <v>41</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42</v>
      </c>
      <c r="E33" s="27" t="s">
        <v>43</v>
      </c>
      <c r="F33" s="94">
        <f>ROUND((SUM(BE85:BE129)),2)</f>
        <v>0</v>
      </c>
      <c r="G33" s="30"/>
      <c r="H33" s="30"/>
      <c r="I33" s="95">
        <v>0.21</v>
      </c>
      <c r="J33" s="94">
        <f>ROUND(((SUM(BE85:BE129))*I33),2)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44</v>
      </c>
      <c r="F34" s="94">
        <f>ROUND((SUM(BF85:BF129)),2)</f>
        <v>0</v>
      </c>
      <c r="G34" s="30"/>
      <c r="H34" s="30"/>
      <c r="I34" s="95">
        <v>0.15</v>
      </c>
      <c r="J34" s="94">
        <f>ROUND(((SUM(BF85:BF129))*I34),2)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45</v>
      </c>
      <c r="F35" s="94">
        <f>ROUND((SUM(BG85:BG129)),2)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46</v>
      </c>
      <c r="F36" s="94">
        <f>ROUND((SUM(BH85:BH129)),2)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47</v>
      </c>
      <c r="F37" s="94">
        <f>ROUND((SUM(BI85:BI129)),2)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48</v>
      </c>
      <c r="E39" s="53"/>
      <c r="F39" s="53"/>
      <c r="G39" s="98" t="s">
        <v>49</v>
      </c>
      <c r="H39" s="99" t="s">
        <v>50</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101</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14</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352" t="str">
        <f>E7</f>
        <v>Modernizace prostor ambulancí chirurgického oddělení v suterénu budovy A - Nemocnice Nymburk, s.r.o.</v>
      </c>
      <c r="F48" s="353"/>
      <c r="G48" s="353"/>
      <c r="H48" s="353"/>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99</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42" t="str">
        <f>E9</f>
        <v>03 - Vytápění</v>
      </c>
      <c r="F50" s="351"/>
      <c r="G50" s="351"/>
      <c r="H50" s="351"/>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19</v>
      </c>
      <c r="D52" s="30"/>
      <c r="E52" s="30"/>
      <c r="F52" s="25" t="str">
        <f>F12</f>
        <v>Nymburk</v>
      </c>
      <c r="G52" s="30"/>
      <c r="H52" s="30"/>
      <c r="I52" s="27" t="s">
        <v>21</v>
      </c>
      <c r="J52" s="48">
        <f>IF(J12="","",J12)</f>
        <v>44152</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22</v>
      </c>
      <c r="D54" s="30"/>
      <c r="E54" s="30"/>
      <c r="F54" s="25" t="str">
        <f>E15</f>
        <v>Nemocnice Nymburk s.r.o.</v>
      </c>
      <c r="G54" s="30"/>
      <c r="H54" s="30"/>
      <c r="I54" s="27" t="s">
        <v>30</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28</v>
      </c>
      <c r="D55" s="30"/>
      <c r="E55" s="30"/>
      <c r="F55" s="25" t="str">
        <f>IF(E18="","",E18)</f>
        <v xml:space="preserve"> </v>
      </c>
      <c r="G55" s="30"/>
      <c r="H55" s="30"/>
      <c r="I55" s="27" t="s">
        <v>35</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102</v>
      </c>
      <c r="D57" s="96"/>
      <c r="E57" s="96"/>
      <c r="F57" s="96"/>
      <c r="G57" s="96"/>
      <c r="H57" s="96"/>
      <c r="I57" s="96"/>
      <c r="J57" s="103" t="s">
        <v>103</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70</v>
      </c>
      <c r="D59" s="30"/>
      <c r="E59" s="30"/>
      <c r="F59" s="30"/>
      <c r="G59" s="30"/>
      <c r="H59" s="30"/>
      <c r="I59" s="30"/>
      <c r="J59" s="64">
        <f>J85</f>
        <v>0</v>
      </c>
      <c r="K59" s="30"/>
      <c r="L59" s="88"/>
      <c r="S59" s="30"/>
      <c r="T59" s="30"/>
      <c r="U59" s="30"/>
      <c r="V59" s="30"/>
      <c r="W59" s="30"/>
      <c r="X59" s="30"/>
      <c r="Y59" s="30"/>
      <c r="Z59" s="30"/>
      <c r="AA59" s="30"/>
      <c r="AB59" s="30"/>
      <c r="AC59" s="30"/>
      <c r="AD59" s="30"/>
      <c r="AE59" s="30"/>
      <c r="AU59" s="18" t="s">
        <v>104</v>
      </c>
    </row>
    <row r="60" spans="2:12" s="9" customFormat="1" ht="24.95" customHeight="1">
      <c r="B60" s="105"/>
      <c r="D60" s="106" t="s">
        <v>111</v>
      </c>
      <c r="E60" s="107"/>
      <c r="F60" s="107"/>
      <c r="G60" s="107"/>
      <c r="H60" s="107"/>
      <c r="I60" s="107"/>
      <c r="J60" s="108">
        <f>J86</f>
        <v>0</v>
      </c>
      <c r="L60" s="105"/>
    </row>
    <row r="61" spans="2:12" s="10" customFormat="1" ht="19.9" customHeight="1">
      <c r="B61" s="109"/>
      <c r="D61" s="110" t="s">
        <v>505</v>
      </c>
      <c r="E61" s="111"/>
      <c r="F61" s="111"/>
      <c r="G61" s="111"/>
      <c r="H61" s="111"/>
      <c r="I61" s="111"/>
      <c r="J61" s="112">
        <f>J87</f>
        <v>0</v>
      </c>
      <c r="L61" s="109"/>
    </row>
    <row r="62" spans="2:12" s="10" customFormat="1" ht="19.9" customHeight="1">
      <c r="B62" s="109"/>
      <c r="D62" s="110" t="s">
        <v>506</v>
      </c>
      <c r="E62" s="111"/>
      <c r="F62" s="111"/>
      <c r="G62" s="111"/>
      <c r="H62" s="111"/>
      <c r="I62" s="111"/>
      <c r="J62" s="112">
        <f>J100</f>
        <v>0</v>
      </c>
      <c r="L62" s="109"/>
    </row>
    <row r="63" spans="2:12" s="10" customFormat="1" ht="19.9" customHeight="1">
      <c r="B63" s="109"/>
      <c r="D63" s="110" t="s">
        <v>507</v>
      </c>
      <c r="E63" s="111"/>
      <c r="F63" s="111"/>
      <c r="G63" s="111"/>
      <c r="H63" s="111"/>
      <c r="I63" s="111"/>
      <c r="J63" s="112">
        <f>J110</f>
        <v>0</v>
      </c>
      <c r="L63" s="109"/>
    </row>
    <row r="64" spans="2:12" s="10" customFormat="1" ht="19.9" customHeight="1">
      <c r="B64" s="109"/>
      <c r="D64" s="110" t="s">
        <v>116</v>
      </c>
      <c r="E64" s="111"/>
      <c r="F64" s="111"/>
      <c r="G64" s="111"/>
      <c r="H64" s="111"/>
      <c r="I64" s="111"/>
      <c r="J64" s="112">
        <f>J121</f>
        <v>0</v>
      </c>
      <c r="L64" s="109"/>
    </row>
    <row r="65" spans="2:12" s="9" customFormat="1" ht="24.95" customHeight="1">
      <c r="B65" s="105"/>
      <c r="D65" s="106" t="s">
        <v>378</v>
      </c>
      <c r="E65" s="107"/>
      <c r="F65" s="107"/>
      <c r="G65" s="107"/>
      <c r="H65" s="107"/>
      <c r="I65" s="107"/>
      <c r="J65" s="108">
        <f>J125</f>
        <v>0</v>
      </c>
      <c r="L65" s="105"/>
    </row>
    <row r="66" spans="1:31" s="2" customFormat="1" ht="21.75" customHeight="1">
      <c r="A66" s="30"/>
      <c r="B66" s="31"/>
      <c r="C66" s="30"/>
      <c r="D66" s="30"/>
      <c r="E66" s="30"/>
      <c r="F66" s="30"/>
      <c r="G66" s="30"/>
      <c r="H66" s="30"/>
      <c r="I66" s="30"/>
      <c r="J66" s="30"/>
      <c r="K66" s="30"/>
      <c r="L66" s="88"/>
      <c r="S66" s="30"/>
      <c r="T66" s="30"/>
      <c r="U66" s="30"/>
      <c r="V66" s="30"/>
      <c r="W66" s="30"/>
      <c r="X66" s="30"/>
      <c r="Y66" s="30"/>
      <c r="Z66" s="30"/>
      <c r="AA66" s="30"/>
      <c r="AB66" s="30"/>
      <c r="AC66" s="30"/>
      <c r="AD66" s="30"/>
      <c r="AE66" s="30"/>
    </row>
    <row r="67" spans="1:31" s="2" customFormat="1" ht="6.95" customHeight="1">
      <c r="A67" s="30"/>
      <c r="B67" s="40"/>
      <c r="C67" s="41"/>
      <c r="D67" s="41"/>
      <c r="E67" s="41"/>
      <c r="F67" s="41"/>
      <c r="G67" s="41"/>
      <c r="H67" s="41"/>
      <c r="I67" s="41"/>
      <c r="J67" s="41"/>
      <c r="K67" s="41"/>
      <c r="L67" s="88"/>
      <c r="S67" s="30"/>
      <c r="T67" s="30"/>
      <c r="U67" s="30"/>
      <c r="V67" s="30"/>
      <c r="W67" s="30"/>
      <c r="X67" s="30"/>
      <c r="Y67" s="30"/>
      <c r="Z67" s="30"/>
      <c r="AA67" s="30"/>
      <c r="AB67" s="30"/>
      <c r="AC67" s="30"/>
      <c r="AD67" s="30"/>
      <c r="AE67" s="30"/>
    </row>
    <row r="71" spans="1:31" s="2" customFormat="1" ht="6.95" customHeight="1">
      <c r="A71" s="30"/>
      <c r="B71" s="42"/>
      <c r="C71" s="43"/>
      <c r="D71" s="43"/>
      <c r="E71" s="43"/>
      <c r="F71" s="43"/>
      <c r="G71" s="43"/>
      <c r="H71" s="43"/>
      <c r="I71" s="43"/>
      <c r="J71" s="43"/>
      <c r="K71" s="43"/>
      <c r="L71" s="88"/>
      <c r="S71" s="30"/>
      <c r="T71" s="30"/>
      <c r="U71" s="30"/>
      <c r="V71" s="30"/>
      <c r="W71" s="30"/>
      <c r="X71" s="30"/>
      <c r="Y71" s="30"/>
      <c r="Z71" s="30"/>
      <c r="AA71" s="30"/>
      <c r="AB71" s="30"/>
      <c r="AC71" s="30"/>
      <c r="AD71" s="30"/>
      <c r="AE71" s="30"/>
    </row>
    <row r="72" spans="1:31" s="2" customFormat="1" ht="24.95" customHeight="1">
      <c r="A72" s="30"/>
      <c r="B72" s="31"/>
      <c r="C72" s="22" t="s">
        <v>118</v>
      </c>
      <c r="D72" s="30"/>
      <c r="E72" s="30"/>
      <c r="F72" s="30"/>
      <c r="G72" s="30"/>
      <c r="H72" s="30"/>
      <c r="I72" s="30"/>
      <c r="J72" s="30"/>
      <c r="K72" s="30"/>
      <c r="L72" s="88"/>
      <c r="S72" s="30"/>
      <c r="T72" s="30"/>
      <c r="U72" s="30"/>
      <c r="V72" s="30"/>
      <c r="W72" s="30"/>
      <c r="X72" s="30"/>
      <c r="Y72" s="30"/>
      <c r="Z72" s="30"/>
      <c r="AA72" s="30"/>
      <c r="AB72" s="30"/>
      <c r="AC72" s="30"/>
      <c r="AD72" s="30"/>
      <c r="AE72" s="30"/>
    </row>
    <row r="73" spans="1:31" s="2" customFormat="1" ht="6.95" customHeight="1">
      <c r="A73" s="30"/>
      <c r="B73" s="31"/>
      <c r="C73" s="30"/>
      <c r="D73" s="30"/>
      <c r="E73" s="30"/>
      <c r="F73" s="30"/>
      <c r="G73" s="30"/>
      <c r="H73" s="30"/>
      <c r="I73" s="30"/>
      <c r="J73" s="30"/>
      <c r="K73" s="30"/>
      <c r="L73" s="88"/>
      <c r="S73" s="30"/>
      <c r="T73" s="30"/>
      <c r="U73" s="30"/>
      <c r="V73" s="30"/>
      <c r="W73" s="30"/>
      <c r="X73" s="30"/>
      <c r="Y73" s="30"/>
      <c r="Z73" s="30"/>
      <c r="AA73" s="30"/>
      <c r="AB73" s="30"/>
      <c r="AC73" s="30"/>
      <c r="AD73" s="30"/>
      <c r="AE73" s="30"/>
    </row>
    <row r="74" spans="1:31" s="2" customFormat="1" ht="12" customHeight="1">
      <c r="A74" s="30"/>
      <c r="B74" s="31"/>
      <c r="C74" s="27" t="s">
        <v>14</v>
      </c>
      <c r="D74" s="30"/>
      <c r="E74" s="30"/>
      <c r="F74" s="30"/>
      <c r="G74" s="30"/>
      <c r="H74" s="30"/>
      <c r="I74" s="30"/>
      <c r="J74" s="30"/>
      <c r="K74" s="30"/>
      <c r="L74" s="88"/>
      <c r="S74" s="30"/>
      <c r="T74" s="30"/>
      <c r="U74" s="30"/>
      <c r="V74" s="30"/>
      <c r="W74" s="30"/>
      <c r="X74" s="30"/>
      <c r="Y74" s="30"/>
      <c r="Z74" s="30"/>
      <c r="AA74" s="30"/>
      <c r="AB74" s="30"/>
      <c r="AC74" s="30"/>
      <c r="AD74" s="30"/>
      <c r="AE74" s="30"/>
    </row>
    <row r="75" spans="1:31" s="2" customFormat="1" ht="23.25" customHeight="1">
      <c r="A75" s="30"/>
      <c r="B75" s="31"/>
      <c r="C75" s="30"/>
      <c r="D75" s="30"/>
      <c r="E75" s="352" t="str">
        <f>E7</f>
        <v>Modernizace prostor ambulancí chirurgického oddělení v suterénu budovy A - Nemocnice Nymburk, s.r.o.</v>
      </c>
      <c r="F75" s="353"/>
      <c r="G75" s="353"/>
      <c r="H75" s="353"/>
      <c r="I75" s="30"/>
      <c r="J75" s="30"/>
      <c r="K75" s="30"/>
      <c r="L75" s="88"/>
      <c r="S75" s="30"/>
      <c r="T75" s="30"/>
      <c r="U75" s="30"/>
      <c r="V75" s="30"/>
      <c r="W75" s="30"/>
      <c r="X75" s="30"/>
      <c r="Y75" s="30"/>
      <c r="Z75" s="30"/>
      <c r="AA75" s="30"/>
      <c r="AB75" s="30"/>
      <c r="AC75" s="30"/>
      <c r="AD75" s="30"/>
      <c r="AE75" s="30"/>
    </row>
    <row r="76" spans="1:31" s="2" customFormat="1" ht="12" customHeight="1">
      <c r="A76" s="30"/>
      <c r="B76" s="31"/>
      <c r="C76" s="27" t="s">
        <v>99</v>
      </c>
      <c r="D76" s="30"/>
      <c r="E76" s="30"/>
      <c r="F76" s="30"/>
      <c r="G76" s="30"/>
      <c r="H76" s="30"/>
      <c r="I76" s="30"/>
      <c r="J76" s="30"/>
      <c r="K76" s="30"/>
      <c r="L76" s="88"/>
      <c r="S76" s="30"/>
      <c r="T76" s="30"/>
      <c r="U76" s="30"/>
      <c r="V76" s="30"/>
      <c r="W76" s="30"/>
      <c r="X76" s="30"/>
      <c r="Y76" s="30"/>
      <c r="Z76" s="30"/>
      <c r="AA76" s="30"/>
      <c r="AB76" s="30"/>
      <c r="AC76" s="30"/>
      <c r="AD76" s="30"/>
      <c r="AE76" s="30"/>
    </row>
    <row r="77" spans="1:31" s="2" customFormat="1" ht="16.5" customHeight="1">
      <c r="A77" s="30"/>
      <c r="B77" s="31"/>
      <c r="C77" s="30"/>
      <c r="D77" s="30"/>
      <c r="E77" s="342" t="str">
        <f>E9</f>
        <v>03 - Vytápění</v>
      </c>
      <c r="F77" s="351"/>
      <c r="G77" s="351"/>
      <c r="H77" s="351"/>
      <c r="I77" s="30"/>
      <c r="J77" s="30"/>
      <c r="K77" s="30"/>
      <c r="L77" s="88"/>
      <c r="S77" s="30"/>
      <c r="T77" s="30"/>
      <c r="U77" s="30"/>
      <c r="V77" s="30"/>
      <c r="W77" s="30"/>
      <c r="X77" s="30"/>
      <c r="Y77" s="30"/>
      <c r="Z77" s="30"/>
      <c r="AA77" s="30"/>
      <c r="AB77" s="30"/>
      <c r="AC77" s="30"/>
      <c r="AD77" s="30"/>
      <c r="AE77" s="30"/>
    </row>
    <row r="78" spans="1:31" s="2" customFormat="1" ht="6.95" customHeight="1">
      <c r="A78" s="30"/>
      <c r="B78" s="31"/>
      <c r="C78" s="30"/>
      <c r="D78" s="30"/>
      <c r="E78" s="30"/>
      <c r="F78" s="30"/>
      <c r="G78" s="30"/>
      <c r="H78" s="30"/>
      <c r="I78" s="30"/>
      <c r="J78" s="30"/>
      <c r="K78" s="30"/>
      <c r="L78" s="88"/>
      <c r="S78" s="30"/>
      <c r="T78" s="30"/>
      <c r="U78" s="30"/>
      <c r="V78" s="30"/>
      <c r="W78" s="30"/>
      <c r="X78" s="30"/>
      <c r="Y78" s="30"/>
      <c r="Z78" s="30"/>
      <c r="AA78" s="30"/>
      <c r="AB78" s="30"/>
      <c r="AC78" s="30"/>
      <c r="AD78" s="30"/>
      <c r="AE78" s="30"/>
    </row>
    <row r="79" spans="1:31" s="2" customFormat="1" ht="12" customHeight="1">
      <c r="A79" s="30"/>
      <c r="B79" s="31"/>
      <c r="C79" s="27" t="s">
        <v>19</v>
      </c>
      <c r="D79" s="30"/>
      <c r="E79" s="30"/>
      <c r="F79" s="25" t="str">
        <f>F12</f>
        <v>Nymburk</v>
      </c>
      <c r="G79" s="30"/>
      <c r="H79" s="30"/>
      <c r="I79" s="27" t="s">
        <v>21</v>
      </c>
      <c r="J79" s="48">
        <f>IF(J12="","",J12)</f>
        <v>44152</v>
      </c>
      <c r="K79" s="30"/>
      <c r="L79" s="88"/>
      <c r="S79" s="30"/>
      <c r="T79" s="30"/>
      <c r="U79" s="30"/>
      <c r="V79" s="30"/>
      <c r="W79" s="30"/>
      <c r="X79" s="30"/>
      <c r="Y79" s="30"/>
      <c r="Z79" s="30"/>
      <c r="AA79" s="30"/>
      <c r="AB79" s="30"/>
      <c r="AC79" s="30"/>
      <c r="AD79" s="30"/>
      <c r="AE79" s="30"/>
    </row>
    <row r="80" spans="1:31" s="2" customFormat="1" ht="6.95" customHeight="1">
      <c r="A80" s="30"/>
      <c r="B80" s="31"/>
      <c r="C80" s="30"/>
      <c r="D80" s="30"/>
      <c r="E80" s="30"/>
      <c r="F80" s="30"/>
      <c r="G80" s="30"/>
      <c r="H80" s="30"/>
      <c r="I80" s="30"/>
      <c r="J80" s="30"/>
      <c r="K80" s="30"/>
      <c r="L80" s="88"/>
      <c r="S80" s="30"/>
      <c r="T80" s="30"/>
      <c r="U80" s="30"/>
      <c r="V80" s="30"/>
      <c r="W80" s="30"/>
      <c r="X80" s="30"/>
      <c r="Y80" s="30"/>
      <c r="Z80" s="30"/>
      <c r="AA80" s="30"/>
      <c r="AB80" s="30"/>
      <c r="AC80" s="30"/>
      <c r="AD80" s="30"/>
      <c r="AE80" s="30"/>
    </row>
    <row r="81" spans="1:31" s="2" customFormat="1" ht="25.7" customHeight="1">
      <c r="A81" s="30"/>
      <c r="B81" s="31"/>
      <c r="C81" s="27" t="s">
        <v>22</v>
      </c>
      <c r="D81" s="30"/>
      <c r="E81" s="30"/>
      <c r="F81" s="25" t="str">
        <f>E15</f>
        <v>Nemocnice Nymburk s.r.o.</v>
      </c>
      <c r="G81" s="30"/>
      <c r="H81" s="30"/>
      <c r="I81" s="27" t="s">
        <v>30</v>
      </c>
      <c r="J81" s="28" t="str">
        <f>E21</f>
        <v>Ing. arch. Pavel Petrák</v>
      </c>
      <c r="K81" s="30"/>
      <c r="L81" s="88"/>
      <c r="S81" s="30"/>
      <c r="T81" s="30"/>
      <c r="U81" s="30"/>
      <c r="V81" s="30"/>
      <c r="W81" s="30"/>
      <c r="X81" s="30"/>
      <c r="Y81" s="30"/>
      <c r="Z81" s="30"/>
      <c r="AA81" s="30"/>
      <c r="AB81" s="30"/>
      <c r="AC81" s="30"/>
      <c r="AD81" s="30"/>
      <c r="AE81" s="30"/>
    </row>
    <row r="82" spans="1:31" s="2" customFormat="1" ht="15.2" customHeight="1">
      <c r="A82" s="30"/>
      <c r="B82" s="31"/>
      <c r="C82" s="27" t="s">
        <v>28</v>
      </c>
      <c r="D82" s="30"/>
      <c r="E82" s="30"/>
      <c r="F82" s="25" t="str">
        <f>IF(E18="","",E18)</f>
        <v xml:space="preserve"> </v>
      </c>
      <c r="G82" s="30"/>
      <c r="H82" s="30"/>
      <c r="I82" s="27" t="s">
        <v>35</v>
      </c>
      <c r="J82" s="28" t="str">
        <f>E24</f>
        <v xml:space="preserve"> </v>
      </c>
      <c r="K82" s="30"/>
      <c r="L82" s="88"/>
      <c r="S82" s="30"/>
      <c r="T82" s="30"/>
      <c r="U82" s="30"/>
      <c r="V82" s="30"/>
      <c r="W82" s="30"/>
      <c r="X82" s="30"/>
      <c r="Y82" s="30"/>
      <c r="Z82" s="30"/>
      <c r="AA82" s="30"/>
      <c r="AB82" s="30"/>
      <c r="AC82" s="30"/>
      <c r="AD82" s="30"/>
      <c r="AE82" s="30"/>
    </row>
    <row r="83" spans="1:31" s="2" customFormat="1" ht="10.35" customHeight="1">
      <c r="A83" s="30"/>
      <c r="B83" s="31"/>
      <c r="C83" s="30"/>
      <c r="D83" s="30"/>
      <c r="E83" s="30"/>
      <c r="F83" s="30"/>
      <c r="G83" s="30"/>
      <c r="H83" s="30"/>
      <c r="I83" s="30"/>
      <c r="J83" s="30"/>
      <c r="K83" s="30"/>
      <c r="L83" s="88"/>
      <c r="S83" s="30"/>
      <c r="T83" s="30"/>
      <c r="U83" s="30"/>
      <c r="V83" s="30"/>
      <c r="W83" s="30"/>
      <c r="X83" s="30"/>
      <c r="Y83" s="30"/>
      <c r="Z83" s="30"/>
      <c r="AA83" s="30"/>
      <c r="AB83" s="30"/>
      <c r="AC83" s="30"/>
      <c r="AD83" s="30"/>
      <c r="AE83" s="30"/>
    </row>
    <row r="84" spans="1:31" s="11" customFormat="1" ht="29.25" customHeight="1">
      <c r="A84" s="113"/>
      <c r="B84" s="114"/>
      <c r="C84" s="115" t="s">
        <v>119</v>
      </c>
      <c r="D84" s="116" t="s">
        <v>57</v>
      </c>
      <c r="E84" s="116" t="s">
        <v>53</v>
      </c>
      <c r="F84" s="116" t="s">
        <v>54</v>
      </c>
      <c r="G84" s="116" t="s">
        <v>120</v>
      </c>
      <c r="H84" s="116" t="s">
        <v>121</v>
      </c>
      <c r="I84" s="116" t="s">
        <v>122</v>
      </c>
      <c r="J84" s="116" t="s">
        <v>103</v>
      </c>
      <c r="K84" s="117" t="s">
        <v>123</v>
      </c>
      <c r="L84" s="118"/>
      <c r="M84" s="55" t="s">
        <v>3</v>
      </c>
      <c r="N84" s="56" t="s">
        <v>42</v>
      </c>
      <c r="O84" s="56" t="s">
        <v>124</v>
      </c>
      <c r="P84" s="56" t="s">
        <v>125</v>
      </c>
      <c r="Q84" s="56" t="s">
        <v>126</v>
      </c>
      <c r="R84" s="56" t="s">
        <v>127</v>
      </c>
      <c r="S84" s="56" t="s">
        <v>128</v>
      </c>
      <c r="T84" s="57" t="s">
        <v>129</v>
      </c>
      <c r="U84" s="113"/>
      <c r="V84" s="113"/>
      <c r="W84" s="113"/>
      <c r="X84" s="113"/>
      <c r="Y84" s="113"/>
      <c r="Z84" s="113"/>
      <c r="AA84" s="113"/>
      <c r="AB84" s="113"/>
      <c r="AC84" s="113"/>
      <c r="AD84" s="113"/>
      <c r="AE84" s="113"/>
    </row>
    <row r="85" spans="1:63" s="2" customFormat="1" ht="22.9" customHeight="1">
      <c r="A85" s="30"/>
      <c r="B85" s="31"/>
      <c r="C85" s="62" t="s">
        <v>130</v>
      </c>
      <c r="D85" s="30"/>
      <c r="E85" s="30"/>
      <c r="F85" s="30"/>
      <c r="G85" s="30"/>
      <c r="H85" s="30"/>
      <c r="I85" s="30"/>
      <c r="J85" s="119">
        <f>J86</f>
        <v>0</v>
      </c>
      <c r="K85" s="30"/>
      <c r="L85" s="31"/>
      <c r="M85" s="58"/>
      <c r="N85" s="49"/>
      <c r="O85" s="59"/>
      <c r="P85" s="120" t="e">
        <f>#REF!+P86+P125</f>
        <v>#REF!</v>
      </c>
      <c r="Q85" s="59"/>
      <c r="R85" s="120" t="e">
        <f>#REF!+R86+R125</f>
        <v>#REF!</v>
      </c>
      <c r="S85" s="59"/>
      <c r="T85" s="121" t="e">
        <f>#REF!+T86+T125</f>
        <v>#REF!</v>
      </c>
      <c r="U85" s="30"/>
      <c r="V85" s="30"/>
      <c r="W85" s="30"/>
      <c r="X85" s="30"/>
      <c r="Y85" s="30"/>
      <c r="Z85" s="30"/>
      <c r="AA85" s="30"/>
      <c r="AB85" s="30"/>
      <c r="AC85" s="30"/>
      <c r="AD85" s="30"/>
      <c r="AE85" s="30"/>
      <c r="AT85" s="18" t="s">
        <v>71</v>
      </c>
      <c r="AU85" s="18" t="s">
        <v>104</v>
      </c>
      <c r="BK85" s="122" t="e">
        <f>#REF!+BK86+BK125</f>
        <v>#REF!</v>
      </c>
    </row>
    <row r="86" spans="2:63" s="12" customFormat="1" ht="25.9" customHeight="1">
      <c r="B86" s="123"/>
      <c r="D86" s="124" t="s">
        <v>71</v>
      </c>
      <c r="E86" s="125" t="s">
        <v>213</v>
      </c>
      <c r="F86" s="125" t="s">
        <v>214</v>
      </c>
      <c r="J86" s="126">
        <f>J87+J100+J110+J121+J125</f>
        <v>0</v>
      </c>
      <c r="L86" s="123"/>
      <c r="M86" s="127"/>
      <c r="N86" s="128"/>
      <c r="O86" s="128"/>
      <c r="P86" s="129">
        <f>P87+P100+P110+P121</f>
        <v>3.175</v>
      </c>
      <c r="Q86" s="128"/>
      <c r="R86" s="129">
        <f>R87+R100+R110+R121</f>
        <v>0.04023</v>
      </c>
      <c r="S86" s="128"/>
      <c r="T86" s="130">
        <f>T87+T100+T110+T121</f>
        <v>0</v>
      </c>
      <c r="AR86" s="124" t="s">
        <v>82</v>
      </c>
      <c r="AT86" s="131" t="s">
        <v>71</v>
      </c>
      <c r="AU86" s="131" t="s">
        <v>72</v>
      </c>
      <c r="AY86" s="124" t="s">
        <v>133</v>
      </c>
      <c r="BK86" s="132">
        <f>BK87+BK100+BK110+BK121</f>
        <v>0</v>
      </c>
    </row>
    <row r="87" spans="2:63" s="12" customFormat="1" ht="22.9" customHeight="1">
      <c r="B87" s="123"/>
      <c r="D87" s="124" t="s">
        <v>71</v>
      </c>
      <c r="E87" s="133" t="s">
        <v>509</v>
      </c>
      <c r="F87" s="133" t="s">
        <v>510</v>
      </c>
      <c r="J87" s="134">
        <f>BK87</f>
        <v>0</v>
      </c>
      <c r="L87" s="123"/>
      <c r="M87" s="127"/>
      <c r="N87" s="128"/>
      <c r="O87" s="128"/>
      <c r="P87" s="129">
        <f>SUM(P88:P99)</f>
        <v>1.71</v>
      </c>
      <c r="Q87" s="128"/>
      <c r="R87" s="129">
        <f>SUM(R88:R99)</f>
        <v>0.00201</v>
      </c>
      <c r="S87" s="128"/>
      <c r="T87" s="130">
        <f>SUM(T88:T99)</f>
        <v>0</v>
      </c>
      <c r="AR87" s="124" t="s">
        <v>82</v>
      </c>
      <c r="AT87" s="131" t="s">
        <v>71</v>
      </c>
      <c r="AU87" s="131" t="s">
        <v>80</v>
      </c>
      <c r="AY87" s="124" t="s">
        <v>133</v>
      </c>
      <c r="BK87" s="132">
        <f>SUM(BK88:BK99)</f>
        <v>0</v>
      </c>
    </row>
    <row r="88" spans="1:65" s="2" customFormat="1" ht="24.2" customHeight="1">
      <c r="A88" s="30"/>
      <c r="B88" s="135"/>
      <c r="C88" s="136">
        <v>1</v>
      </c>
      <c r="D88" s="136" t="s">
        <v>136</v>
      </c>
      <c r="E88" s="137" t="s">
        <v>511</v>
      </c>
      <c r="F88" s="138" t="s">
        <v>512</v>
      </c>
      <c r="G88" s="139" t="s">
        <v>151</v>
      </c>
      <c r="H88" s="140">
        <f>H90</f>
        <v>3</v>
      </c>
      <c r="I88" s="141"/>
      <c r="J88" s="141">
        <f>ROUND(I88*H88,2)</f>
        <v>0</v>
      </c>
      <c r="K88" s="138" t="s">
        <v>141</v>
      </c>
      <c r="L88" s="31"/>
      <c r="M88" s="142" t="s">
        <v>3</v>
      </c>
      <c r="N88" s="143" t="s">
        <v>43</v>
      </c>
      <c r="O88" s="144">
        <v>0.414</v>
      </c>
      <c r="P88" s="144">
        <f>O88*H88</f>
        <v>1.242</v>
      </c>
      <c r="Q88" s="144">
        <v>0.00047</v>
      </c>
      <c r="R88" s="144">
        <f>Q88*H88</f>
        <v>0.00141</v>
      </c>
      <c r="S88" s="144">
        <v>0</v>
      </c>
      <c r="T88" s="145">
        <f>S88*H88</f>
        <v>0</v>
      </c>
      <c r="U88" s="30"/>
      <c r="V88" s="30"/>
      <c r="W88" s="30"/>
      <c r="X88" s="30"/>
      <c r="Y88" s="30"/>
      <c r="Z88" s="30"/>
      <c r="AA88" s="30"/>
      <c r="AB88" s="30"/>
      <c r="AC88" s="30"/>
      <c r="AD88" s="30"/>
      <c r="AE88" s="30"/>
      <c r="AR88" s="146" t="s">
        <v>154</v>
      </c>
      <c r="AT88" s="146" t="s">
        <v>136</v>
      </c>
      <c r="AU88" s="146" t="s">
        <v>82</v>
      </c>
      <c r="AY88" s="18" t="s">
        <v>133</v>
      </c>
      <c r="BE88" s="147">
        <f>IF(N88="základní",J88,0)</f>
        <v>0</v>
      </c>
      <c r="BF88" s="147">
        <f>IF(N88="snížená",J88,0)</f>
        <v>0</v>
      </c>
      <c r="BG88" s="147">
        <f>IF(N88="zákl. přenesená",J88,0)</f>
        <v>0</v>
      </c>
      <c r="BH88" s="147">
        <f>IF(N88="sníž. přenesená",J88,0)</f>
        <v>0</v>
      </c>
      <c r="BI88" s="147">
        <f>IF(N88="nulová",J88,0)</f>
        <v>0</v>
      </c>
      <c r="BJ88" s="18" t="s">
        <v>80</v>
      </c>
      <c r="BK88" s="147">
        <f>ROUND(I88*H88,2)</f>
        <v>0</v>
      </c>
      <c r="BL88" s="18" t="s">
        <v>154</v>
      </c>
      <c r="BM88" s="146" t="s">
        <v>513</v>
      </c>
    </row>
    <row r="89" spans="2:51" s="13" customFormat="1" ht="12">
      <c r="B89" s="148"/>
      <c r="D89" s="149" t="s">
        <v>139</v>
      </c>
      <c r="E89" s="150" t="s">
        <v>3</v>
      </c>
      <c r="F89" s="151" t="s">
        <v>508</v>
      </c>
      <c r="H89" s="150" t="s">
        <v>3</v>
      </c>
      <c r="L89" s="148"/>
      <c r="M89" s="152"/>
      <c r="N89" s="153"/>
      <c r="O89" s="153"/>
      <c r="P89" s="153"/>
      <c r="Q89" s="153"/>
      <c r="R89" s="153"/>
      <c r="S89" s="153"/>
      <c r="T89" s="154"/>
      <c r="AT89" s="150" t="s">
        <v>139</v>
      </c>
      <c r="AU89" s="150" t="s">
        <v>82</v>
      </c>
      <c r="AV89" s="13" t="s">
        <v>80</v>
      </c>
      <c r="AW89" s="13" t="s">
        <v>34</v>
      </c>
      <c r="AX89" s="13" t="s">
        <v>72</v>
      </c>
      <c r="AY89" s="150" t="s">
        <v>133</v>
      </c>
    </row>
    <row r="90" spans="2:51" s="14" customFormat="1" ht="12">
      <c r="B90" s="155"/>
      <c r="D90" s="149" t="s">
        <v>139</v>
      </c>
      <c r="E90" s="156" t="s">
        <v>3</v>
      </c>
      <c r="F90" s="157" t="s">
        <v>944</v>
      </c>
      <c r="H90" s="158">
        <v>3</v>
      </c>
      <c r="L90" s="155"/>
      <c r="M90" s="159"/>
      <c r="N90" s="160"/>
      <c r="O90" s="160"/>
      <c r="P90" s="160"/>
      <c r="Q90" s="160"/>
      <c r="R90" s="160"/>
      <c r="S90" s="160"/>
      <c r="T90" s="161"/>
      <c r="AT90" s="156" t="s">
        <v>139</v>
      </c>
      <c r="AU90" s="156" t="s">
        <v>82</v>
      </c>
      <c r="AV90" s="14" t="s">
        <v>82</v>
      </c>
      <c r="AW90" s="14" t="s">
        <v>34</v>
      </c>
      <c r="AX90" s="14" t="s">
        <v>80</v>
      </c>
      <c r="AY90" s="156" t="s">
        <v>133</v>
      </c>
    </row>
    <row r="91" spans="1:65" s="2" customFormat="1" ht="24.2" customHeight="1">
      <c r="A91" s="30"/>
      <c r="B91" s="135"/>
      <c r="C91" s="136">
        <v>2</v>
      </c>
      <c r="D91" s="136" t="s">
        <v>136</v>
      </c>
      <c r="E91" s="137" t="s">
        <v>514</v>
      </c>
      <c r="F91" s="138" t="s">
        <v>515</v>
      </c>
      <c r="G91" s="139" t="s">
        <v>151</v>
      </c>
      <c r="H91" s="140">
        <f>H88</f>
        <v>3</v>
      </c>
      <c r="I91" s="141"/>
      <c r="J91" s="141">
        <f>ROUND(I91*H91,2)</f>
        <v>0</v>
      </c>
      <c r="K91" s="138" t="s">
        <v>141</v>
      </c>
      <c r="L91" s="31"/>
      <c r="M91" s="142" t="s">
        <v>3</v>
      </c>
      <c r="N91" s="143" t="s">
        <v>43</v>
      </c>
      <c r="O91" s="144">
        <v>0.038</v>
      </c>
      <c r="P91" s="144">
        <f>O91*H91</f>
        <v>0.11399999999999999</v>
      </c>
      <c r="Q91" s="144">
        <v>0</v>
      </c>
      <c r="R91" s="144">
        <f>Q91*H91</f>
        <v>0</v>
      </c>
      <c r="S91" s="144">
        <v>0</v>
      </c>
      <c r="T91" s="145">
        <f>S91*H91</f>
        <v>0</v>
      </c>
      <c r="U91" s="30"/>
      <c r="V91" s="30"/>
      <c r="W91" s="30"/>
      <c r="X91" s="30"/>
      <c r="Y91" s="30"/>
      <c r="Z91" s="30"/>
      <c r="AA91" s="30"/>
      <c r="AB91" s="30"/>
      <c r="AC91" s="30"/>
      <c r="AD91" s="30"/>
      <c r="AE91" s="30"/>
      <c r="AR91" s="146" t="s">
        <v>154</v>
      </c>
      <c r="AT91" s="146" t="s">
        <v>136</v>
      </c>
      <c r="AU91" s="146" t="s">
        <v>82</v>
      </c>
      <c r="AY91" s="18" t="s">
        <v>133</v>
      </c>
      <c r="BE91" s="147">
        <f>IF(N91="základní",J91,0)</f>
        <v>0</v>
      </c>
      <c r="BF91" s="147">
        <f>IF(N91="snížená",J91,0)</f>
        <v>0</v>
      </c>
      <c r="BG91" s="147">
        <f>IF(N91="zákl. přenesená",J91,0)</f>
        <v>0</v>
      </c>
      <c r="BH91" s="147">
        <f>IF(N91="sníž. přenesená",J91,0)</f>
        <v>0</v>
      </c>
      <c r="BI91" s="147">
        <f>IF(N91="nulová",J91,0)</f>
        <v>0</v>
      </c>
      <c r="BJ91" s="18" t="s">
        <v>80</v>
      </c>
      <c r="BK91" s="147">
        <f>ROUND(I91*H91,2)</f>
        <v>0</v>
      </c>
      <c r="BL91" s="18" t="s">
        <v>154</v>
      </c>
      <c r="BM91" s="146" t="s">
        <v>516</v>
      </c>
    </row>
    <row r="92" spans="2:51" s="13" customFormat="1" ht="12">
      <c r="B92" s="148"/>
      <c r="D92" s="149" t="s">
        <v>139</v>
      </c>
      <c r="E92" s="150" t="s">
        <v>3</v>
      </c>
      <c r="F92" s="151" t="s">
        <v>152</v>
      </c>
      <c r="H92" s="150" t="s">
        <v>3</v>
      </c>
      <c r="L92" s="148"/>
      <c r="M92" s="152"/>
      <c r="N92" s="153"/>
      <c r="O92" s="153"/>
      <c r="P92" s="153"/>
      <c r="Q92" s="153"/>
      <c r="R92" s="153"/>
      <c r="S92" s="153"/>
      <c r="T92" s="154"/>
      <c r="AT92" s="150" t="s">
        <v>139</v>
      </c>
      <c r="AU92" s="150" t="s">
        <v>82</v>
      </c>
      <c r="AV92" s="13" t="s">
        <v>80</v>
      </c>
      <c r="AW92" s="13" t="s">
        <v>34</v>
      </c>
      <c r="AX92" s="13" t="s">
        <v>72</v>
      </c>
      <c r="AY92" s="150" t="s">
        <v>133</v>
      </c>
    </row>
    <row r="93" spans="1:65" s="2" customFormat="1" ht="49.15" customHeight="1">
      <c r="A93" s="30"/>
      <c r="B93" s="135"/>
      <c r="C93" s="136">
        <v>3</v>
      </c>
      <c r="D93" s="136" t="s">
        <v>136</v>
      </c>
      <c r="E93" s="137" t="s">
        <v>517</v>
      </c>
      <c r="F93" s="138" t="s">
        <v>518</v>
      </c>
      <c r="G93" s="139" t="s">
        <v>151</v>
      </c>
      <c r="H93" s="140">
        <f>H88</f>
        <v>3</v>
      </c>
      <c r="I93" s="141"/>
      <c r="J93" s="141">
        <f>ROUND(I93*H93,2)</f>
        <v>0</v>
      </c>
      <c r="K93" s="138" t="s">
        <v>141</v>
      </c>
      <c r="L93" s="31"/>
      <c r="M93" s="142" t="s">
        <v>3</v>
      </c>
      <c r="N93" s="143" t="s">
        <v>43</v>
      </c>
      <c r="O93" s="144">
        <v>0.118</v>
      </c>
      <c r="P93" s="144">
        <f>O93*H93</f>
        <v>0.354</v>
      </c>
      <c r="Q93" s="144">
        <v>0.0002</v>
      </c>
      <c r="R93" s="144">
        <f>Q93*H93</f>
        <v>0.0006000000000000001</v>
      </c>
      <c r="S93" s="144">
        <v>0</v>
      </c>
      <c r="T93" s="145">
        <f>S93*H93</f>
        <v>0</v>
      </c>
      <c r="U93" s="30"/>
      <c r="V93" s="30"/>
      <c r="W93" s="30"/>
      <c r="X93" s="30"/>
      <c r="Y93" s="30"/>
      <c r="Z93" s="30"/>
      <c r="AA93" s="30"/>
      <c r="AB93" s="30"/>
      <c r="AC93" s="30"/>
      <c r="AD93" s="30"/>
      <c r="AE93" s="30"/>
      <c r="AR93" s="146" t="s">
        <v>154</v>
      </c>
      <c r="AT93" s="146" t="s">
        <v>136</v>
      </c>
      <c r="AU93" s="146" t="s">
        <v>82</v>
      </c>
      <c r="AY93" s="18" t="s">
        <v>133</v>
      </c>
      <c r="BE93" s="147">
        <f>IF(N93="základní",J93,0)</f>
        <v>0</v>
      </c>
      <c r="BF93" s="147">
        <f>IF(N93="snížená",J93,0)</f>
        <v>0</v>
      </c>
      <c r="BG93" s="147">
        <f>IF(N93="zákl. přenesená",J93,0)</f>
        <v>0</v>
      </c>
      <c r="BH93" s="147">
        <f>IF(N93="sníž. přenesená",J93,0)</f>
        <v>0</v>
      </c>
      <c r="BI93" s="147">
        <f>IF(N93="nulová",J93,0)</f>
        <v>0</v>
      </c>
      <c r="BJ93" s="18" t="s">
        <v>80</v>
      </c>
      <c r="BK93" s="147">
        <f>ROUND(I93*H93,2)</f>
        <v>0</v>
      </c>
      <c r="BL93" s="18" t="s">
        <v>154</v>
      </c>
      <c r="BM93" s="146" t="s">
        <v>519</v>
      </c>
    </row>
    <row r="94" spans="1:47" s="2" customFormat="1" ht="39">
      <c r="A94" s="30"/>
      <c r="B94" s="31"/>
      <c r="C94" s="30"/>
      <c r="D94" s="149" t="s">
        <v>142</v>
      </c>
      <c r="E94" s="30"/>
      <c r="F94" s="162" t="s">
        <v>434</v>
      </c>
      <c r="G94" s="30"/>
      <c r="H94" s="30"/>
      <c r="I94" s="30"/>
      <c r="J94" s="30"/>
      <c r="K94" s="30"/>
      <c r="L94" s="31"/>
      <c r="M94" s="163"/>
      <c r="N94" s="164"/>
      <c r="O94" s="51"/>
      <c r="P94" s="51"/>
      <c r="Q94" s="51"/>
      <c r="R94" s="51"/>
      <c r="S94" s="51"/>
      <c r="T94" s="52"/>
      <c r="U94" s="30"/>
      <c r="V94" s="30"/>
      <c r="W94" s="30"/>
      <c r="X94" s="30"/>
      <c r="Y94" s="30"/>
      <c r="Z94" s="30"/>
      <c r="AA94" s="30"/>
      <c r="AB94" s="30"/>
      <c r="AC94" s="30"/>
      <c r="AD94" s="30"/>
      <c r="AE94" s="30"/>
      <c r="AT94" s="18" t="s">
        <v>142</v>
      </c>
      <c r="AU94" s="18" t="s">
        <v>82</v>
      </c>
    </row>
    <row r="95" spans="2:51" s="13" customFormat="1" ht="12">
      <c r="B95" s="148"/>
      <c r="D95" s="149" t="s">
        <v>139</v>
      </c>
      <c r="E95" s="150" t="s">
        <v>3</v>
      </c>
      <c r="F95" s="151" t="s">
        <v>152</v>
      </c>
      <c r="H95" s="150" t="s">
        <v>3</v>
      </c>
      <c r="L95" s="148"/>
      <c r="M95" s="152"/>
      <c r="N95" s="153"/>
      <c r="O95" s="153"/>
      <c r="P95" s="153"/>
      <c r="Q95" s="153"/>
      <c r="R95" s="153"/>
      <c r="S95" s="153"/>
      <c r="T95" s="154"/>
      <c r="AT95" s="150" t="s">
        <v>139</v>
      </c>
      <c r="AU95" s="150" t="s">
        <v>82</v>
      </c>
      <c r="AV95" s="13" t="s">
        <v>80</v>
      </c>
      <c r="AW95" s="13" t="s">
        <v>34</v>
      </c>
      <c r="AX95" s="13" t="s">
        <v>72</v>
      </c>
      <c r="AY95" s="150" t="s">
        <v>133</v>
      </c>
    </row>
    <row r="96" spans="1:65" s="2" customFormat="1" ht="37.9" customHeight="1">
      <c r="A96" s="30"/>
      <c r="B96" s="135"/>
      <c r="C96" s="136">
        <v>4</v>
      </c>
      <c r="D96" s="136" t="s">
        <v>136</v>
      </c>
      <c r="E96" s="137" t="s">
        <v>520</v>
      </c>
      <c r="F96" s="138" t="s">
        <v>521</v>
      </c>
      <c r="G96" s="139" t="s">
        <v>229</v>
      </c>
      <c r="H96" s="140">
        <f>SUM(J88:J93)/100</f>
        <v>0</v>
      </c>
      <c r="I96" s="141"/>
      <c r="J96" s="141">
        <f>ROUND(I96*H96,2)</f>
        <v>0</v>
      </c>
      <c r="K96" s="138" t="s">
        <v>141</v>
      </c>
      <c r="L96" s="31"/>
      <c r="M96" s="142" t="s">
        <v>3</v>
      </c>
      <c r="N96" s="143" t="s">
        <v>43</v>
      </c>
      <c r="O96" s="144">
        <v>0</v>
      </c>
      <c r="P96" s="144">
        <f>O96*H96</f>
        <v>0</v>
      </c>
      <c r="Q96" s="144">
        <v>0</v>
      </c>
      <c r="R96" s="144">
        <f>Q96*H96</f>
        <v>0</v>
      </c>
      <c r="S96" s="144">
        <v>0</v>
      </c>
      <c r="T96" s="145">
        <f>S96*H96</f>
        <v>0</v>
      </c>
      <c r="U96" s="30"/>
      <c r="V96" s="30"/>
      <c r="W96" s="30"/>
      <c r="X96" s="30"/>
      <c r="Y96" s="30"/>
      <c r="Z96" s="30"/>
      <c r="AA96" s="30"/>
      <c r="AB96" s="30"/>
      <c r="AC96" s="30"/>
      <c r="AD96" s="30"/>
      <c r="AE96" s="30"/>
      <c r="AR96" s="146" t="s">
        <v>154</v>
      </c>
      <c r="AT96" s="146" t="s">
        <v>136</v>
      </c>
      <c r="AU96" s="146" t="s">
        <v>82</v>
      </c>
      <c r="AY96" s="18" t="s">
        <v>133</v>
      </c>
      <c r="BE96" s="147">
        <f>IF(N96="základní",J96,0)</f>
        <v>0</v>
      </c>
      <c r="BF96" s="147">
        <f>IF(N96="snížená",J96,0)</f>
        <v>0</v>
      </c>
      <c r="BG96" s="147">
        <f>IF(N96="zákl. přenesená",J96,0)</f>
        <v>0</v>
      </c>
      <c r="BH96" s="147">
        <f>IF(N96="sníž. přenesená",J96,0)</f>
        <v>0</v>
      </c>
      <c r="BI96" s="147">
        <f>IF(N96="nulová",J96,0)</f>
        <v>0</v>
      </c>
      <c r="BJ96" s="18" t="s">
        <v>80</v>
      </c>
      <c r="BK96" s="147">
        <f>ROUND(I96*H96,2)</f>
        <v>0</v>
      </c>
      <c r="BL96" s="18" t="s">
        <v>154</v>
      </c>
      <c r="BM96" s="146" t="s">
        <v>522</v>
      </c>
    </row>
    <row r="97" spans="1:47" s="2" customFormat="1" ht="126.75">
      <c r="A97" s="30"/>
      <c r="B97" s="31"/>
      <c r="C97" s="30"/>
      <c r="D97" s="149" t="s">
        <v>142</v>
      </c>
      <c r="E97" s="30"/>
      <c r="F97" s="162" t="s">
        <v>523</v>
      </c>
      <c r="G97" s="30"/>
      <c r="H97" s="30"/>
      <c r="I97" s="30"/>
      <c r="J97" s="30"/>
      <c r="K97" s="30"/>
      <c r="L97" s="31"/>
      <c r="M97" s="163"/>
      <c r="N97" s="164"/>
      <c r="O97" s="51"/>
      <c r="P97" s="51"/>
      <c r="Q97" s="51"/>
      <c r="R97" s="51"/>
      <c r="S97" s="51"/>
      <c r="T97" s="52"/>
      <c r="U97" s="30"/>
      <c r="V97" s="30"/>
      <c r="W97" s="30"/>
      <c r="X97" s="30"/>
      <c r="Y97" s="30"/>
      <c r="Z97" s="30"/>
      <c r="AA97" s="30"/>
      <c r="AB97" s="30"/>
      <c r="AC97" s="30"/>
      <c r="AD97" s="30"/>
      <c r="AE97" s="30"/>
      <c r="AT97" s="18" t="s">
        <v>142</v>
      </c>
      <c r="AU97" s="18" t="s">
        <v>82</v>
      </c>
    </row>
    <row r="98" spans="1:65" s="2" customFormat="1" ht="37.9" customHeight="1">
      <c r="A98" s="30"/>
      <c r="B98" s="135"/>
      <c r="C98" s="136">
        <v>5</v>
      </c>
      <c r="D98" s="136" t="s">
        <v>136</v>
      </c>
      <c r="E98" s="137" t="s">
        <v>524</v>
      </c>
      <c r="F98" s="138" t="s">
        <v>525</v>
      </c>
      <c r="G98" s="139" t="s">
        <v>229</v>
      </c>
      <c r="H98" s="140">
        <f>H96</f>
        <v>0</v>
      </c>
      <c r="I98" s="141"/>
      <c r="J98" s="141">
        <f>ROUND(I98*H98,2)</f>
        <v>0</v>
      </c>
      <c r="K98" s="138" t="s">
        <v>141</v>
      </c>
      <c r="L98" s="31"/>
      <c r="M98" s="142" t="s">
        <v>3</v>
      </c>
      <c r="N98" s="143" t="s">
        <v>43</v>
      </c>
      <c r="O98" s="144">
        <v>0</v>
      </c>
      <c r="P98" s="144">
        <f>O98*H98</f>
        <v>0</v>
      </c>
      <c r="Q98" s="144">
        <v>0</v>
      </c>
      <c r="R98" s="144">
        <f>Q98*H98</f>
        <v>0</v>
      </c>
      <c r="S98" s="144">
        <v>0</v>
      </c>
      <c r="T98" s="145">
        <f>S98*H98</f>
        <v>0</v>
      </c>
      <c r="U98" s="30"/>
      <c r="V98" s="30"/>
      <c r="W98" s="30"/>
      <c r="X98" s="30"/>
      <c r="Y98" s="30"/>
      <c r="Z98" s="30"/>
      <c r="AA98" s="30"/>
      <c r="AB98" s="30"/>
      <c r="AC98" s="30"/>
      <c r="AD98" s="30"/>
      <c r="AE98" s="30"/>
      <c r="AR98" s="146" t="s">
        <v>154</v>
      </c>
      <c r="AT98" s="146" t="s">
        <v>136</v>
      </c>
      <c r="AU98" s="146" t="s">
        <v>82</v>
      </c>
      <c r="AY98" s="18" t="s">
        <v>133</v>
      </c>
      <c r="BE98" s="147">
        <f>IF(N98="základní",J98,0)</f>
        <v>0</v>
      </c>
      <c r="BF98" s="147">
        <f>IF(N98="snížená",J98,0)</f>
        <v>0</v>
      </c>
      <c r="BG98" s="147">
        <f>IF(N98="zákl. přenesená",J98,0)</f>
        <v>0</v>
      </c>
      <c r="BH98" s="147">
        <f>IF(N98="sníž. přenesená",J98,0)</f>
        <v>0</v>
      </c>
      <c r="BI98" s="147">
        <f>IF(N98="nulová",J98,0)</f>
        <v>0</v>
      </c>
      <c r="BJ98" s="18" t="s">
        <v>80</v>
      </c>
      <c r="BK98" s="147">
        <f>ROUND(I98*H98,2)</f>
        <v>0</v>
      </c>
      <c r="BL98" s="18" t="s">
        <v>154</v>
      </c>
      <c r="BM98" s="146" t="s">
        <v>526</v>
      </c>
    </row>
    <row r="99" spans="1:47" s="2" customFormat="1" ht="126.75">
      <c r="A99" s="30"/>
      <c r="B99" s="31"/>
      <c r="C99" s="30"/>
      <c r="D99" s="149" t="s">
        <v>142</v>
      </c>
      <c r="E99" s="30"/>
      <c r="F99" s="162" t="s">
        <v>523</v>
      </c>
      <c r="G99" s="30"/>
      <c r="H99" s="30"/>
      <c r="I99" s="30"/>
      <c r="J99" s="30"/>
      <c r="K99" s="30"/>
      <c r="L99" s="31"/>
      <c r="M99" s="163"/>
      <c r="N99" s="164"/>
      <c r="O99" s="51"/>
      <c r="P99" s="51"/>
      <c r="Q99" s="51"/>
      <c r="R99" s="51"/>
      <c r="S99" s="51"/>
      <c r="T99" s="52"/>
      <c r="U99" s="30"/>
      <c r="V99" s="30"/>
      <c r="W99" s="30"/>
      <c r="X99" s="30"/>
      <c r="Y99" s="30"/>
      <c r="Z99" s="30"/>
      <c r="AA99" s="30"/>
      <c r="AB99" s="30"/>
      <c r="AC99" s="30"/>
      <c r="AD99" s="30"/>
      <c r="AE99" s="30"/>
      <c r="AT99" s="18" t="s">
        <v>142</v>
      </c>
      <c r="AU99" s="18" t="s">
        <v>82</v>
      </c>
    </row>
    <row r="100" spans="2:63" s="12" customFormat="1" ht="22.9" customHeight="1">
      <c r="B100" s="123"/>
      <c r="D100" s="124" t="s">
        <v>71</v>
      </c>
      <c r="E100" s="133" t="s">
        <v>527</v>
      </c>
      <c r="F100" s="133" t="s">
        <v>528</v>
      </c>
      <c r="J100" s="134">
        <f>BK100</f>
        <v>0</v>
      </c>
      <c r="L100" s="123"/>
      <c r="M100" s="127"/>
      <c r="N100" s="128"/>
      <c r="O100" s="128"/>
      <c r="P100" s="129">
        <f>SUM(P101:P109)</f>
        <v>1.0499999999999998</v>
      </c>
      <c r="Q100" s="128"/>
      <c r="R100" s="129">
        <f>SUM(R101:R109)</f>
        <v>0.0033</v>
      </c>
      <c r="S100" s="128"/>
      <c r="T100" s="130">
        <f>SUM(T101:T109)</f>
        <v>0</v>
      </c>
      <c r="AR100" s="124" t="s">
        <v>82</v>
      </c>
      <c r="AT100" s="131" t="s">
        <v>71</v>
      </c>
      <c r="AU100" s="131" t="s">
        <v>80</v>
      </c>
      <c r="AY100" s="124" t="s">
        <v>133</v>
      </c>
      <c r="BK100" s="132">
        <f>SUM(BK101:BK109)</f>
        <v>0</v>
      </c>
    </row>
    <row r="101" spans="1:65" s="2" customFormat="1" ht="24.2" customHeight="1">
      <c r="A101" s="30"/>
      <c r="B101" s="135"/>
      <c r="C101" s="136">
        <v>6</v>
      </c>
      <c r="D101" s="136" t="s">
        <v>136</v>
      </c>
      <c r="E101" s="137" t="s">
        <v>529</v>
      </c>
      <c r="F101" s="138" t="s">
        <v>530</v>
      </c>
      <c r="G101" s="139" t="s">
        <v>140</v>
      </c>
      <c r="H101" s="140">
        <v>3</v>
      </c>
      <c r="I101" s="141"/>
      <c r="J101" s="141">
        <f>ROUND(I101*H101,2)</f>
        <v>0</v>
      </c>
      <c r="K101" s="138" t="s">
        <v>141</v>
      </c>
      <c r="L101" s="31"/>
      <c r="M101" s="142" t="s">
        <v>3</v>
      </c>
      <c r="N101" s="143" t="s">
        <v>43</v>
      </c>
      <c r="O101" s="144">
        <v>0.15</v>
      </c>
      <c r="P101" s="144">
        <f>O101*H101</f>
        <v>0.44999999999999996</v>
      </c>
      <c r="Q101" s="144">
        <v>0.00026</v>
      </c>
      <c r="R101" s="144">
        <f>Q101*H101</f>
        <v>0.0007799999999999999</v>
      </c>
      <c r="S101" s="144">
        <v>0</v>
      </c>
      <c r="T101" s="145">
        <f>S101*H101</f>
        <v>0</v>
      </c>
      <c r="U101" s="30"/>
      <c r="V101" s="30"/>
      <c r="W101" s="30"/>
      <c r="X101" s="30"/>
      <c r="Y101" s="30"/>
      <c r="Z101" s="30"/>
      <c r="AA101" s="30"/>
      <c r="AB101" s="30"/>
      <c r="AC101" s="30"/>
      <c r="AD101" s="30"/>
      <c r="AE101" s="30"/>
      <c r="AR101" s="146" t="s">
        <v>154</v>
      </c>
      <c r="AT101" s="146" t="s">
        <v>136</v>
      </c>
      <c r="AU101" s="146" t="s">
        <v>82</v>
      </c>
      <c r="AY101" s="18" t="s">
        <v>133</v>
      </c>
      <c r="BE101" s="147">
        <f>IF(N101="základní",J101,0)</f>
        <v>0</v>
      </c>
      <c r="BF101" s="147">
        <f>IF(N101="snížená",J101,0)</f>
        <v>0</v>
      </c>
      <c r="BG101" s="147">
        <f>IF(N101="zákl. přenesená",J101,0)</f>
        <v>0</v>
      </c>
      <c r="BH101" s="147">
        <f>IF(N101="sníž. přenesená",J101,0)</f>
        <v>0</v>
      </c>
      <c r="BI101" s="147">
        <f>IF(N101="nulová",J101,0)</f>
        <v>0</v>
      </c>
      <c r="BJ101" s="18" t="s">
        <v>80</v>
      </c>
      <c r="BK101" s="147">
        <f>ROUND(I101*H101,2)</f>
        <v>0</v>
      </c>
      <c r="BL101" s="18" t="s">
        <v>154</v>
      </c>
      <c r="BM101" s="146" t="s">
        <v>531</v>
      </c>
    </row>
    <row r="102" spans="1:47" s="2" customFormat="1" ht="48.75">
      <c r="A102" s="30"/>
      <c r="B102" s="31"/>
      <c r="C102" s="30"/>
      <c r="D102" s="149" t="s">
        <v>142</v>
      </c>
      <c r="E102" s="30"/>
      <c r="F102" s="162" t="s">
        <v>532</v>
      </c>
      <c r="G102" s="30"/>
      <c r="H102" s="30"/>
      <c r="I102" s="30"/>
      <c r="J102" s="30"/>
      <c r="K102" s="30"/>
      <c r="L102" s="31"/>
      <c r="M102" s="163"/>
      <c r="N102" s="164"/>
      <c r="O102" s="51"/>
      <c r="P102" s="51"/>
      <c r="Q102" s="51"/>
      <c r="R102" s="51"/>
      <c r="S102" s="51"/>
      <c r="T102" s="52"/>
      <c r="U102" s="30"/>
      <c r="V102" s="30"/>
      <c r="W102" s="30"/>
      <c r="X102" s="30"/>
      <c r="Y102" s="30"/>
      <c r="Z102" s="30"/>
      <c r="AA102" s="30"/>
      <c r="AB102" s="30"/>
      <c r="AC102" s="30"/>
      <c r="AD102" s="30"/>
      <c r="AE102" s="30"/>
      <c r="AT102" s="18" t="s">
        <v>142</v>
      </c>
      <c r="AU102" s="18" t="s">
        <v>82</v>
      </c>
    </row>
    <row r="103" spans="1:65" s="2" customFormat="1" ht="37.9" customHeight="1">
      <c r="A103" s="30"/>
      <c r="B103" s="135"/>
      <c r="C103" s="136">
        <v>7</v>
      </c>
      <c r="D103" s="136" t="s">
        <v>136</v>
      </c>
      <c r="E103" s="137" t="s">
        <v>533</v>
      </c>
      <c r="F103" s="138" t="s">
        <v>534</v>
      </c>
      <c r="G103" s="139" t="s">
        <v>140</v>
      </c>
      <c r="H103" s="140">
        <v>3</v>
      </c>
      <c r="I103" s="141"/>
      <c r="J103" s="141">
        <f>ROUND(I103*H103,2)</f>
        <v>0</v>
      </c>
      <c r="K103" s="138" t="s">
        <v>141</v>
      </c>
      <c r="L103" s="31"/>
      <c r="M103" s="142" t="s">
        <v>3</v>
      </c>
      <c r="N103" s="143" t="s">
        <v>43</v>
      </c>
      <c r="O103" s="144">
        <v>0.035</v>
      </c>
      <c r="P103" s="144">
        <f>O103*H103</f>
        <v>0.10500000000000001</v>
      </c>
      <c r="Q103" s="144">
        <v>0.00014</v>
      </c>
      <c r="R103" s="144">
        <f>Q103*H103</f>
        <v>0.00041999999999999996</v>
      </c>
      <c r="S103" s="144">
        <v>0</v>
      </c>
      <c r="T103" s="145">
        <f>S103*H103</f>
        <v>0</v>
      </c>
      <c r="U103" s="30"/>
      <c r="V103" s="30"/>
      <c r="W103" s="30"/>
      <c r="X103" s="30"/>
      <c r="Y103" s="30"/>
      <c r="Z103" s="30"/>
      <c r="AA103" s="30"/>
      <c r="AB103" s="30"/>
      <c r="AC103" s="30"/>
      <c r="AD103" s="30"/>
      <c r="AE103" s="30"/>
      <c r="AR103" s="146" t="s">
        <v>154</v>
      </c>
      <c r="AT103" s="146" t="s">
        <v>136</v>
      </c>
      <c r="AU103" s="146" t="s">
        <v>82</v>
      </c>
      <c r="AY103" s="18" t="s">
        <v>133</v>
      </c>
      <c r="BE103" s="147">
        <f>IF(N103="základní",J103,0)</f>
        <v>0</v>
      </c>
      <c r="BF103" s="147">
        <f>IF(N103="snížená",J103,0)</f>
        <v>0</v>
      </c>
      <c r="BG103" s="147">
        <f>IF(N103="zákl. přenesená",J103,0)</f>
        <v>0</v>
      </c>
      <c r="BH103" s="147">
        <f>IF(N103="sníž. přenesená",J103,0)</f>
        <v>0</v>
      </c>
      <c r="BI103" s="147">
        <f>IF(N103="nulová",J103,0)</f>
        <v>0</v>
      </c>
      <c r="BJ103" s="18" t="s">
        <v>80</v>
      </c>
      <c r="BK103" s="147">
        <f>ROUND(I103*H103,2)</f>
        <v>0</v>
      </c>
      <c r="BL103" s="18" t="s">
        <v>154</v>
      </c>
      <c r="BM103" s="146" t="s">
        <v>535</v>
      </c>
    </row>
    <row r="104" spans="1:47" s="2" customFormat="1" ht="48.75">
      <c r="A104" s="30"/>
      <c r="B104" s="31"/>
      <c r="C104" s="30"/>
      <c r="D104" s="149" t="s">
        <v>142</v>
      </c>
      <c r="E104" s="30"/>
      <c r="F104" s="162" t="s">
        <v>532</v>
      </c>
      <c r="G104" s="30"/>
      <c r="H104" s="30"/>
      <c r="I104" s="30"/>
      <c r="J104" s="30"/>
      <c r="K104" s="30"/>
      <c r="L104" s="31"/>
      <c r="M104" s="163"/>
      <c r="N104" s="164"/>
      <c r="O104" s="51"/>
      <c r="P104" s="51"/>
      <c r="Q104" s="51"/>
      <c r="R104" s="51"/>
      <c r="S104" s="51"/>
      <c r="T104" s="52"/>
      <c r="U104" s="30"/>
      <c r="V104" s="30"/>
      <c r="W104" s="30"/>
      <c r="X104" s="30"/>
      <c r="Y104" s="30"/>
      <c r="Z104" s="30"/>
      <c r="AA104" s="30"/>
      <c r="AB104" s="30"/>
      <c r="AC104" s="30"/>
      <c r="AD104" s="30"/>
      <c r="AE104" s="30"/>
      <c r="AT104" s="18" t="s">
        <v>142</v>
      </c>
      <c r="AU104" s="18" t="s">
        <v>82</v>
      </c>
    </row>
    <row r="105" spans="1:65" s="2" customFormat="1" ht="24.2" customHeight="1">
      <c r="A105" s="30"/>
      <c r="B105" s="135"/>
      <c r="C105" s="136">
        <v>8</v>
      </c>
      <c r="D105" s="136" t="s">
        <v>136</v>
      </c>
      <c r="E105" s="137" t="s">
        <v>536</v>
      </c>
      <c r="F105" s="138" t="s">
        <v>537</v>
      </c>
      <c r="G105" s="139" t="s">
        <v>140</v>
      </c>
      <c r="H105" s="140">
        <f>H101</f>
        <v>3</v>
      </c>
      <c r="I105" s="141"/>
      <c r="J105" s="141">
        <f>ROUND(I105*H105,2)</f>
        <v>0</v>
      </c>
      <c r="K105" s="138" t="s">
        <v>141</v>
      </c>
      <c r="L105" s="31"/>
      <c r="M105" s="142" t="s">
        <v>3</v>
      </c>
      <c r="N105" s="143" t="s">
        <v>43</v>
      </c>
      <c r="O105" s="144">
        <v>0.165</v>
      </c>
      <c r="P105" s="144">
        <f>O105*H105</f>
        <v>0.495</v>
      </c>
      <c r="Q105" s="144">
        <v>0.0007</v>
      </c>
      <c r="R105" s="144">
        <f>Q105*H105</f>
        <v>0.0021</v>
      </c>
      <c r="S105" s="144">
        <v>0</v>
      </c>
      <c r="T105" s="145">
        <f>S105*H105</f>
        <v>0</v>
      </c>
      <c r="U105" s="30"/>
      <c r="V105" s="30"/>
      <c r="W105" s="30"/>
      <c r="X105" s="30"/>
      <c r="Y105" s="30"/>
      <c r="Z105" s="30"/>
      <c r="AA105" s="30"/>
      <c r="AB105" s="30"/>
      <c r="AC105" s="30"/>
      <c r="AD105" s="30"/>
      <c r="AE105" s="30"/>
      <c r="AR105" s="146" t="s">
        <v>154</v>
      </c>
      <c r="AT105" s="146" t="s">
        <v>136</v>
      </c>
      <c r="AU105" s="146" t="s">
        <v>82</v>
      </c>
      <c r="AY105" s="18" t="s">
        <v>133</v>
      </c>
      <c r="BE105" s="147">
        <f>IF(N105="základní",J105,0)</f>
        <v>0</v>
      </c>
      <c r="BF105" s="147">
        <f>IF(N105="snížená",J105,0)</f>
        <v>0</v>
      </c>
      <c r="BG105" s="147">
        <f>IF(N105="zákl. přenesená",J105,0)</f>
        <v>0</v>
      </c>
      <c r="BH105" s="147">
        <f>IF(N105="sníž. přenesená",J105,0)</f>
        <v>0</v>
      </c>
      <c r="BI105" s="147">
        <f>IF(N105="nulová",J105,0)</f>
        <v>0</v>
      </c>
      <c r="BJ105" s="18" t="s">
        <v>80</v>
      </c>
      <c r="BK105" s="147">
        <f>ROUND(I105*H105,2)</f>
        <v>0</v>
      </c>
      <c r="BL105" s="18" t="s">
        <v>154</v>
      </c>
      <c r="BM105" s="146" t="s">
        <v>538</v>
      </c>
    </row>
    <row r="106" spans="1:65" s="2" customFormat="1" ht="37.9" customHeight="1">
      <c r="A106" s="30"/>
      <c r="B106" s="135"/>
      <c r="C106" s="136">
        <v>9</v>
      </c>
      <c r="D106" s="136" t="s">
        <v>136</v>
      </c>
      <c r="E106" s="137" t="s">
        <v>539</v>
      </c>
      <c r="F106" s="138" t="s">
        <v>540</v>
      </c>
      <c r="G106" s="139" t="s">
        <v>229</v>
      </c>
      <c r="H106" s="140">
        <f>SUM(J101:J105)/100</f>
        <v>0</v>
      </c>
      <c r="I106" s="141"/>
      <c r="J106" s="141">
        <f>ROUND(I106*H106,2)</f>
        <v>0</v>
      </c>
      <c r="K106" s="138" t="s">
        <v>141</v>
      </c>
      <c r="L106" s="31"/>
      <c r="M106" s="142" t="s">
        <v>3</v>
      </c>
      <c r="N106" s="143" t="s">
        <v>43</v>
      </c>
      <c r="O106" s="144">
        <v>0</v>
      </c>
      <c r="P106" s="144">
        <f>O106*H106</f>
        <v>0</v>
      </c>
      <c r="Q106" s="144">
        <v>0</v>
      </c>
      <c r="R106" s="144">
        <f>Q106*H106</f>
        <v>0</v>
      </c>
      <c r="S106" s="144">
        <v>0</v>
      </c>
      <c r="T106" s="145">
        <f>S106*H106</f>
        <v>0</v>
      </c>
      <c r="U106" s="30"/>
      <c r="V106" s="30"/>
      <c r="W106" s="30"/>
      <c r="X106" s="30"/>
      <c r="Y106" s="30"/>
      <c r="Z106" s="30"/>
      <c r="AA106" s="30"/>
      <c r="AB106" s="30"/>
      <c r="AC106" s="30"/>
      <c r="AD106" s="30"/>
      <c r="AE106" s="30"/>
      <c r="AR106" s="146" t="s">
        <v>154</v>
      </c>
      <c r="AT106" s="146" t="s">
        <v>136</v>
      </c>
      <c r="AU106" s="146" t="s">
        <v>82</v>
      </c>
      <c r="AY106" s="18" t="s">
        <v>133</v>
      </c>
      <c r="BE106" s="147">
        <f>IF(N106="základní",J106,0)</f>
        <v>0</v>
      </c>
      <c r="BF106" s="147">
        <f>IF(N106="snížená",J106,0)</f>
        <v>0</v>
      </c>
      <c r="BG106" s="147">
        <f>IF(N106="zákl. přenesená",J106,0)</f>
        <v>0</v>
      </c>
      <c r="BH106" s="147">
        <f>IF(N106="sníž. přenesená",J106,0)</f>
        <v>0</v>
      </c>
      <c r="BI106" s="147">
        <f>IF(N106="nulová",J106,0)</f>
        <v>0</v>
      </c>
      <c r="BJ106" s="18" t="s">
        <v>80</v>
      </c>
      <c r="BK106" s="147">
        <f>ROUND(I106*H106,2)</f>
        <v>0</v>
      </c>
      <c r="BL106" s="18" t="s">
        <v>154</v>
      </c>
      <c r="BM106" s="146" t="s">
        <v>541</v>
      </c>
    </row>
    <row r="107" spans="1:47" s="2" customFormat="1" ht="126.75">
      <c r="A107" s="30"/>
      <c r="B107" s="31"/>
      <c r="C107" s="30"/>
      <c r="D107" s="149" t="s">
        <v>142</v>
      </c>
      <c r="E107" s="30"/>
      <c r="F107" s="162" t="s">
        <v>542</v>
      </c>
      <c r="G107" s="30"/>
      <c r="H107" s="30"/>
      <c r="I107" s="30"/>
      <c r="J107" s="30"/>
      <c r="K107" s="30"/>
      <c r="L107" s="31"/>
      <c r="M107" s="163"/>
      <c r="N107" s="164"/>
      <c r="O107" s="51"/>
      <c r="P107" s="51"/>
      <c r="Q107" s="51"/>
      <c r="R107" s="51"/>
      <c r="S107" s="51"/>
      <c r="T107" s="52"/>
      <c r="U107" s="30"/>
      <c r="V107" s="30"/>
      <c r="W107" s="30"/>
      <c r="X107" s="30"/>
      <c r="Y107" s="30"/>
      <c r="Z107" s="30"/>
      <c r="AA107" s="30"/>
      <c r="AB107" s="30"/>
      <c r="AC107" s="30"/>
      <c r="AD107" s="30"/>
      <c r="AE107" s="30"/>
      <c r="AT107" s="18" t="s">
        <v>142</v>
      </c>
      <c r="AU107" s="18" t="s">
        <v>82</v>
      </c>
    </row>
    <row r="108" spans="1:65" s="2" customFormat="1" ht="37.9" customHeight="1">
      <c r="A108" s="30"/>
      <c r="B108" s="135"/>
      <c r="C108" s="136">
        <v>10</v>
      </c>
      <c r="D108" s="136" t="s">
        <v>136</v>
      </c>
      <c r="E108" s="137" t="s">
        <v>543</v>
      </c>
      <c r="F108" s="138" t="s">
        <v>544</v>
      </c>
      <c r="G108" s="139" t="s">
        <v>229</v>
      </c>
      <c r="H108" s="140">
        <f>H106</f>
        <v>0</v>
      </c>
      <c r="I108" s="141"/>
      <c r="J108" s="141">
        <f>ROUND(I108*H108,2)</f>
        <v>0</v>
      </c>
      <c r="K108" s="138" t="s">
        <v>141</v>
      </c>
      <c r="L108" s="31"/>
      <c r="M108" s="142" t="s">
        <v>3</v>
      </c>
      <c r="N108" s="143" t="s">
        <v>43</v>
      </c>
      <c r="O108" s="144">
        <v>0</v>
      </c>
      <c r="P108" s="144">
        <f>O108*H108</f>
        <v>0</v>
      </c>
      <c r="Q108" s="144">
        <v>0</v>
      </c>
      <c r="R108" s="144">
        <f>Q108*H108</f>
        <v>0</v>
      </c>
      <c r="S108" s="144">
        <v>0</v>
      </c>
      <c r="T108" s="145">
        <f>S108*H108</f>
        <v>0</v>
      </c>
      <c r="U108" s="30"/>
      <c r="V108" s="30"/>
      <c r="W108" s="30"/>
      <c r="X108" s="30"/>
      <c r="Y108" s="30"/>
      <c r="Z108" s="30"/>
      <c r="AA108" s="30"/>
      <c r="AB108" s="30"/>
      <c r="AC108" s="30"/>
      <c r="AD108" s="30"/>
      <c r="AE108" s="30"/>
      <c r="AR108" s="146" t="s">
        <v>154</v>
      </c>
      <c r="AT108" s="146" t="s">
        <v>136</v>
      </c>
      <c r="AU108" s="146" t="s">
        <v>82</v>
      </c>
      <c r="AY108" s="18" t="s">
        <v>133</v>
      </c>
      <c r="BE108" s="147">
        <f>IF(N108="základní",J108,0)</f>
        <v>0</v>
      </c>
      <c r="BF108" s="147">
        <f>IF(N108="snížená",J108,0)</f>
        <v>0</v>
      </c>
      <c r="BG108" s="147">
        <f>IF(N108="zákl. přenesená",J108,0)</f>
        <v>0</v>
      </c>
      <c r="BH108" s="147">
        <f>IF(N108="sníž. přenesená",J108,0)</f>
        <v>0</v>
      </c>
      <c r="BI108" s="147">
        <f>IF(N108="nulová",J108,0)</f>
        <v>0</v>
      </c>
      <c r="BJ108" s="18" t="s">
        <v>80</v>
      </c>
      <c r="BK108" s="147">
        <f>ROUND(I108*H108,2)</f>
        <v>0</v>
      </c>
      <c r="BL108" s="18" t="s">
        <v>154</v>
      </c>
      <c r="BM108" s="146" t="s">
        <v>545</v>
      </c>
    </row>
    <row r="109" spans="1:47" s="2" customFormat="1" ht="126.75">
      <c r="A109" s="30"/>
      <c r="B109" s="31"/>
      <c r="C109" s="30"/>
      <c r="D109" s="149" t="s">
        <v>142</v>
      </c>
      <c r="E109" s="30"/>
      <c r="F109" s="162" t="s">
        <v>542</v>
      </c>
      <c r="G109" s="30"/>
      <c r="H109" s="30"/>
      <c r="I109" s="30"/>
      <c r="J109" s="30"/>
      <c r="K109" s="30"/>
      <c r="L109" s="31"/>
      <c r="M109" s="163"/>
      <c r="N109" s="164"/>
      <c r="O109" s="51"/>
      <c r="P109" s="51"/>
      <c r="Q109" s="51"/>
      <c r="R109" s="51"/>
      <c r="S109" s="51"/>
      <c r="T109" s="52"/>
      <c r="U109" s="30"/>
      <c r="V109" s="30"/>
      <c r="W109" s="30"/>
      <c r="X109" s="30"/>
      <c r="Y109" s="30"/>
      <c r="Z109" s="30"/>
      <c r="AA109" s="30"/>
      <c r="AB109" s="30"/>
      <c r="AC109" s="30"/>
      <c r="AD109" s="30"/>
      <c r="AE109" s="30"/>
      <c r="AT109" s="18" t="s">
        <v>142</v>
      </c>
      <c r="AU109" s="18" t="s">
        <v>82</v>
      </c>
    </row>
    <row r="110" spans="2:63" s="12" customFormat="1" ht="22.9" customHeight="1">
      <c r="B110" s="123"/>
      <c r="D110" s="124" t="s">
        <v>71</v>
      </c>
      <c r="E110" s="133" t="s">
        <v>546</v>
      </c>
      <c r="F110" s="133" t="s">
        <v>547</v>
      </c>
      <c r="J110" s="134">
        <f>SUM(J111:J120)</f>
        <v>0</v>
      </c>
      <c r="L110" s="123"/>
      <c r="M110" s="127"/>
      <c r="N110" s="128"/>
      <c r="O110" s="128"/>
      <c r="P110" s="129">
        <f>SUM(P115:P120)</f>
        <v>0.298</v>
      </c>
      <c r="Q110" s="128"/>
      <c r="R110" s="129">
        <f>SUM(R115:R120)</f>
        <v>0.0348</v>
      </c>
      <c r="S110" s="128"/>
      <c r="T110" s="130">
        <f>SUM(T115:T120)</f>
        <v>0</v>
      </c>
      <c r="AR110" s="124" t="s">
        <v>82</v>
      </c>
      <c r="AT110" s="131" t="s">
        <v>71</v>
      </c>
      <c r="AU110" s="131" t="s">
        <v>80</v>
      </c>
      <c r="AY110" s="124" t="s">
        <v>133</v>
      </c>
      <c r="BK110" s="132">
        <f>SUM(BK115:BK120)</f>
        <v>0</v>
      </c>
    </row>
    <row r="111" spans="1:65" s="290" customFormat="1" ht="49.15" customHeight="1">
      <c r="A111" s="291"/>
      <c r="B111" s="135"/>
      <c r="C111" s="136">
        <v>11</v>
      </c>
      <c r="D111" s="136" t="s">
        <v>136</v>
      </c>
      <c r="E111" s="137" t="s">
        <v>549</v>
      </c>
      <c r="F111" s="138" t="s">
        <v>939</v>
      </c>
      <c r="G111" s="139" t="s">
        <v>140</v>
      </c>
      <c r="H111" s="140">
        <v>1</v>
      </c>
      <c r="I111" s="141"/>
      <c r="J111" s="141">
        <f>ROUND(I111*H111,2)</f>
        <v>0</v>
      </c>
      <c r="K111" s="138" t="s">
        <v>141</v>
      </c>
      <c r="L111" s="31"/>
      <c r="M111" s="142" t="s">
        <v>3</v>
      </c>
      <c r="N111" s="292" t="s">
        <v>43</v>
      </c>
      <c r="O111" s="293">
        <v>0.298</v>
      </c>
      <c r="P111" s="293">
        <f>O111*H111</f>
        <v>0.298</v>
      </c>
      <c r="Q111" s="293">
        <v>0.0348</v>
      </c>
      <c r="R111" s="293">
        <f>Q111*H111</f>
        <v>0.0348</v>
      </c>
      <c r="S111" s="293">
        <v>0</v>
      </c>
      <c r="T111" s="145">
        <f>S111*H111</f>
        <v>0</v>
      </c>
      <c r="U111" s="291"/>
      <c r="V111" s="291"/>
      <c r="W111" s="291"/>
      <c r="X111" s="291"/>
      <c r="Y111" s="291"/>
      <c r="Z111" s="291"/>
      <c r="AA111" s="291"/>
      <c r="AB111" s="291"/>
      <c r="AC111" s="291"/>
      <c r="AD111" s="291"/>
      <c r="AE111" s="291"/>
      <c r="AR111" s="294" t="s">
        <v>154</v>
      </c>
      <c r="AT111" s="294" t="s">
        <v>136</v>
      </c>
      <c r="AU111" s="294" t="s">
        <v>82</v>
      </c>
      <c r="AY111" s="295" t="s">
        <v>133</v>
      </c>
      <c r="BE111" s="296">
        <f>IF(N111="základní",J111,0)</f>
        <v>0</v>
      </c>
      <c r="BF111" s="296">
        <f>IF(N111="snížená",J111,0)</f>
        <v>0</v>
      </c>
      <c r="BG111" s="296">
        <f>IF(N111="zákl. přenesená",J111,0)</f>
        <v>0</v>
      </c>
      <c r="BH111" s="296">
        <f>IF(N111="sníž. přenesená",J111,0)</f>
        <v>0</v>
      </c>
      <c r="BI111" s="296">
        <f>IF(N111="nulová",J111,0)</f>
        <v>0</v>
      </c>
      <c r="BJ111" s="295" t="s">
        <v>80</v>
      </c>
      <c r="BK111" s="296">
        <f>ROUND(I111*H111,2)</f>
        <v>0</v>
      </c>
      <c r="BL111" s="295" t="s">
        <v>154</v>
      </c>
      <c r="BM111" s="294" t="s">
        <v>550</v>
      </c>
    </row>
    <row r="112" spans="1:47" s="290" customFormat="1" ht="29.25">
      <c r="A112" s="291"/>
      <c r="B112" s="31"/>
      <c r="C112" s="291"/>
      <c r="D112" s="297" t="s">
        <v>142</v>
      </c>
      <c r="E112" s="291"/>
      <c r="F112" s="299" t="s">
        <v>548</v>
      </c>
      <c r="G112" s="291"/>
      <c r="H112" s="291"/>
      <c r="I112" s="291"/>
      <c r="J112" s="291"/>
      <c r="K112" s="291"/>
      <c r="L112" s="31"/>
      <c r="M112" s="163"/>
      <c r="O112" s="291"/>
      <c r="P112" s="291"/>
      <c r="Q112" s="291"/>
      <c r="R112" s="291"/>
      <c r="S112" s="291"/>
      <c r="T112" s="52"/>
      <c r="U112" s="291"/>
      <c r="V112" s="291"/>
      <c r="W112" s="291"/>
      <c r="X112" s="291"/>
      <c r="Y112" s="291"/>
      <c r="Z112" s="291"/>
      <c r="AA112" s="291"/>
      <c r="AB112" s="291"/>
      <c r="AC112" s="291"/>
      <c r="AD112" s="291"/>
      <c r="AE112" s="291"/>
      <c r="AT112" s="295" t="s">
        <v>142</v>
      </c>
      <c r="AU112" s="295" t="s">
        <v>82</v>
      </c>
    </row>
    <row r="113" spans="1:65" s="290" customFormat="1" ht="49.15" customHeight="1">
      <c r="A113" s="291"/>
      <c r="B113" s="135"/>
      <c r="C113" s="136">
        <v>12</v>
      </c>
      <c r="D113" s="136" t="s">
        <v>136</v>
      </c>
      <c r="E113" s="137" t="s">
        <v>942</v>
      </c>
      <c r="F113" s="138" t="s">
        <v>943</v>
      </c>
      <c r="G113" s="139" t="s">
        <v>140</v>
      </c>
      <c r="H113" s="140">
        <v>1</v>
      </c>
      <c r="I113" s="141"/>
      <c r="J113" s="141">
        <f>ROUND(I113*H113,2)</f>
        <v>0</v>
      </c>
      <c r="K113" s="138" t="s">
        <v>141</v>
      </c>
      <c r="L113" s="31"/>
      <c r="M113" s="142" t="s">
        <v>3</v>
      </c>
      <c r="N113" s="292" t="s">
        <v>43</v>
      </c>
      <c r="O113" s="293">
        <v>0.305</v>
      </c>
      <c r="P113" s="293">
        <f>O113*H113</f>
        <v>0.305</v>
      </c>
      <c r="Q113" s="293">
        <v>0.0372</v>
      </c>
      <c r="R113" s="293">
        <f>Q113*H113</f>
        <v>0.0372</v>
      </c>
      <c r="S113" s="293">
        <v>0</v>
      </c>
      <c r="T113" s="145">
        <f>S113*H113</f>
        <v>0</v>
      </c>
      <c r="U113" s="291"/>
      <c r="V113" s="291"/>
      <c r="W113" s="291"/>
      <c r="X113" s="291"/>
      <c r="Y113" s="291"/>
      <c r="Z113" s="291"/>
      <c r="AA113" s="291"/>
      <c r="AB113" s="291"/>
      <c r="AC113" s="291"/>
      <c r="AD113" s="291"/>
      <c r="AE113" s="291"/>
      <c r="AR113" s="294" t="s">
        <v>154</v>
      </c>
      <c r="AT113" s="294" t="s">
        <v>136</v>
      </c>
      <c r="AU113" s="294" t="s">
        <v>82</v>
      </c>
      <c r="AY113" s="295" t="s">
        <v>133</v>
      </c>
      <c r="BE113" s="296">
        <f>IF(N113="základní",J113,0)</f>
        <v>0</v>
      </c>
      <c r="BF113" s="296">
        <f>IF(N113="snížená",J113,0)</f>
        <v>0</v>
      </c>
      <c r="BG113" s="296">
        <f>IF(N113="zákl. přenesená",J113,0)</f>
        <v>0</v>
      </c>
      <c r="BH113" s="296">
        <f>IF(N113="sníž. přenesená",J113,0)</f>
        <v>0</v>
      </c>
      <c r="BI113" s="296">
        <f>IF(N113="nulová",J113,0)</f>
        <v>0</v>
      </c>
      <c r="BJ113" s="295" t="s">
        <v>80</v>
      </c>
      <c r="BK113" s="296">
        <f>ROUND(I113*H113,2)</f>
        <v>0</v>
      </c>
      <c r="BL113" s="295" t="s">
        <v>154</v>
      </c>
      <c r="BM113" s="294" t="s">
        <v>940</v>
      </c>
    </row>
    <row r="114" spans="1:47" s="290" customFormat="1" ht="29.25">
      <c r="A114" s="291"/>
      <c r="B114" s="31"/>
      <c r="C114" s="291"/>
      <c r="D114" s="297" t="s">
        <v>142</v>
      </c>
      <c r="E114" s="291"/>
      <c r="F114" s="299" t="s">
        <v>548</v>
      </c>
      <c r="G114" s="291"/>
      <c r="H114" s="291"/>
      <c r="I114" s="291"/>
      <c r="J114" s="291"/>
      <c r="K114" s="291"/>
      <c r="L114" s="31"/>
      <c r="M114" s="163"/>
      <c r="O114" s="291"/>
      <c r="P114" s="291"/>
      <c r="Q114" s="291"/>
      <c r="R114" s="291"/>
      <c r="S114" s="291"/>
      <c r="T114" s="52"/>
      <c r="U114" s="291"/>
      <c r="V114" s="291"/>
      <c r="W114" s="291"/>
      <c r="X114" s="291"/>
      <c r="Y114" s="291"/>
      <c r="Z114" s="291"/>
      <c r="AA114" s="291"/>
      <c r="AB114" s="291"/>
      <c r="AC114" s="291"/>
      <c r="AD114" s="291"/>
      <c r="AE114" s="291"/>
      <c r="AT114" s="295" t="s">
        <v>142</v>
      </c>
      <c r="AU114" s="295" t="s">
        <v>82</v>
      </c>
    </row>
    <row r="115" spans="1:65" s="2" customFormat="1" ht="49.15" customHeight="1">
      <c r="A115" s="30"/>
      <c r="B115" s="135"/>
      <c r="C115" s="136">
        <v>13</v>
      </c>
      <c r="D115" s="136" t="s">
        <v>136</v>
      </c>
      <c r="E115" s="137" t="s">
        <v>941</v>
      </c>
      <c r="F115" s="138" t="s">
        <v>900</v>
      </c>
      <c r="G115" s="139" t="s">
        <v>140</v>
      </c>
      <c r="H115" s="140">
        <v>1</v>
      </c>
      <c r="I115" s="141"/>
      <c r="J115" s="141">
        <f>ROUND(I115*H115,2)</f>
        <v>0</v>
      </c>
      <c r="K115" s="138" t="s">
        <v>141</v>
      </c>
      <c r="L115" s="31"/>
      <c r="M115" s="142" t="s">
        <v>3</v>
      </c>
      <c r="N115" s="143" t="s">
        <v>43</v>
      </c>
      <c r="O115" s="144">
        <v>0.298</v>
      </c>
      <c r="P115" s="144">
        <f>O115*H115</f>
        <v>0.298</v>
      </c>
      <c r="Q115" s="144">
        <v>0.0348</v>
      </c>
      <c r="R115" s="144">
        <f>Q115*H115</f>
        <v>0.0348</v>
      </c>
      <c r="S115" s="144">
        <v>0</v>
      </c>
      <c r="T115" s="145">
        <f>S115*H115</f>
        <v>0</v>
      </c>
      <c r="U115" s="30"/>
      <c r="V115" s="30"/>
      <c r="W115" s="30"/>
      <c r="X115" s="30"/>
      <c r="Y115" s="30"/>
      <c r="Z115" s="30"/>
      <c r="AA115" s="30"/>
      <c r="AB115" s="30"/>
      <c r="AC115" s="30"/>
      <c r="AD115" s="30"/>
      <c r="AE115" s="30"/>
      <c r="AR115" s="146" t="s">
        <v>154</v>
      </c>
      <c r="AT115" s="146" t="s">
        <v>136</v>
      </c>
      <c r="AU115" s="146" t="s">
        <v>82</v>
      </c>
      <c r="AY115" s="18" t="s">
        <v>133</v>
      </c>
      <c r="BE115" s="147">
        <f>IF(N115="základní",J115,0)</f>
        <v>0</v>
      </c>
      <c r="BF115" s="147">
        <f>IF(N115="snížená",J115,0)</f>
        <v>0</v>
      </c>
      <c r="BG115" s="147">
        <f>IF(N115="zákl. přenesená",J115,0)</f>
        <v>0</v>
      </c>
      <c r="BH115" s="147">
        <f>IF(N115="sníž. přenesená",J115,0)</f>
        <v>0</v>
      </c>
      <c r="BI115" s="147">
        <f>IF(N115="nulová",J115,0)</f>
        <v>0</v>
      </c>
      <c r="BJ115" s="18" t="s">
        <v>80</v>
      </c>
      <c r="BK115" s="147">
        <f>ROUND(I115*H115,2)</f>
        <v>0</v>
      </c>
      <c r="BL115" s="18" t="s">
        <v>154</v>
      </c>
      <c r="BM115" s="146" t="s">
        <v>550</v>
      </c>
    </row>
    <row r="116" spans="1:47" s="2" customFormat="1" ht="29.25">
      <c r="A116" s="30"/>
      <c r="B116" s="31"/>
      <c r="C116" s="30"/>
      <c r="D116" s="149" t="s">
        <v>142</v>
      </c>
      <c r="E116" s="30"/>
      <c r="F116" s="162" t="s">
        <v>548</v>
      </c>
      <c r="G116" s="30"/>
      <c r="H116" s="30"/>
      <c r="I116" s="30"/>
      <c r="J116" s="30"/>
      <c r="K116" s="30"/>
      <c r="L116" s="31"/>
      <c r="M116" s="163"/>
      <c r="N116" s="164"/>
      <c r="O116" s="51"/>
      <c r="P116" s="51"/>
      <c r="Q116" s="51"/>
      <c r="R116" s="51"/>
      <c r="S116" s="51"/>
      <c r="T116" s="52"/>
      <c r="U116" s="30"/>
      <c r="V116" s="30"/>
      <c r="W116" s="30"/>
      <c r="X116" s="30"/>
      <c r="Y116" s="30"/>
      <c r="Z116" s="30"/>
      <c r="AA116" s="30"/>
      <c r="AB116" s="30"/>
      <c r="AC116" s="30"/>
      <c r="AD116" s="30"/>
      <c r="AE116" s="30"/>
      <c r="AT116" s="18" t="s">
        <v>142</v>
      </c>
      <c r="AU116" s="18" t="s">
        <v>82</v>
      </c>
    </row>
    <row r="117" spans="1:65" s="2" customFormat="1" ht="37.9" customHeight="1">
      <c r="A117" s="30"/>
      <c r="B117" s="135"/>
      <c r="C117" s="136">
        <v>14</v>
      </c>
      <c r="D117" s="136" t="s">
        <v>136</v>
      </c>
      <c r="E117" s="137" t="s">
        <v>551</v>
      </c>
      <c r="F117" s="138" t="s">
        <v>552</v>
      </c>
      <c r="G117" s="139" t="s">
        <v>229</v>
      </c>
      <c r="H117" s="140">
        <f>SUM(J111:J116)/100</f>
        <v>0</v>
      </c>
      <c r="I117" s="141"/>
      <c r="J117" s="141">
        <f>ROUND(I117*H117,2)</f>
        <v>0</v>
      </c>
      <c r="K117" s="138" t="s">
        <v>141</v>
      </c>
      <c r="L117" s="31"/>
      <c r="M117" s="142" t="s">
        <v>3</v>
      </c>
      <c r="N117" s="143" t="s">
        <v>43</v>
      </c>
      <c r="O117" s="144">
        <v>0</v>
      </c>
      <c r="P117" s="144">
        <f>O117*H117</f>
        <v>0</v>
      </c>
      <c r="Q117" s="144">
        <v>0</v>
      </c>
      <c r="R117" s="144">
        <f>Q117*H117</f>
        <v>0</v>
      </c>
      <c r="S117" s="144">
        <v>0</v>
      </c>
      <c r="T117" s="145">
        <f>S117*H117</f>
        <v>0</v>
      </c>
      <c r="U117" s="30"/>
      <c r="V117" s="30"/>
      <c r="W117" s="30"/>
      <c r="X117" s="30"/>
      <c r="Y117" s="30"/>
      <c r="Z117" s="30"/>
      <c r="AA117" s="30"/>
      <c r="AB117" s="30"/>
      <c r="AC117" s="30"/>
      <c r="AD117" s="30"/>
      <c r="AE117" s="30"/>
      <c r="AR117" s="146" t="s">
        <v>154</v>
      </c>
      <c r="AT117" s="146" t="s">
        <v>136</v>
      </c>
      <c r="AU117" s="146" t="s">
        <v>82</v>
      </c>
      <c r="AY117" s="18" t="s">
        <v>133</v>
      </c>
      <c r="BE117" s="147">
        <f>IF(N117="základní",J117,0)</f>
        <v>0</v>
      </c>
      <c r="BF117" s="147">
        <f>IF(N117="snížená",J117,0)</f>
        <v>0</v>
      </c>
      <c r="BG117" s="147">
        <f>IF(N117="zákl. přenesená",J117,0)</f>
        <v>0</v>
      </c>
      <c r="BH117" s="147">
        <f>IF(N117="sníž. přenesená",J117,0)</f>
        <v>0</v>
      </c>
      <c r="BI117" s="147">
        <f>IF(N117="nulová",J117,0)</f>
        <v>0</v>
      </c>
      <c r="BJ117" s="18" t="s">
        <v>80</v>
      </c>
      <c r="BK117" s="147">
        <f>ROUND(I117*H117,2)</f>
        <v>0</v>
      </c>
      <c r="BL117" s="18" t="s">
        <v>154</v>
      </c>
      <c r="BM117" s="146" t="s">
        <v>553</v>
      </c>
    </row>
    <row r="118" spans="1:47" s="2" customFormat="1" ht="126.75">
      <c r="A118" s="30"/>
      <c r="B118" s="31"/>
      <c r="C118" s="30"/>
      <c r="D118" s="149" t="s">
        <v>142</v>
      </c>
      <c r="E118" s="30"/>
      <c r="F118" s="162" t="s">
        <v>283</v>
      </c>
      <c r="G118" s="30"/>
      <c r="H118" s="30"/>
      <c r="I118" s="30"/>
      <c r="J118" s="30"/>
      <c r="K118" s="30"/>
      <c r="L118" s="31"/>
      <c r="M118" s="163"/>
      <c r="N118" s="164"/>
      <c r="O118" s="51"/>
      <c r="P118" s="51"/>
      <c r="Q118" s="51"/>
      <c r="R118" s="51"/>
      <c r="S118" s="51"/>
      <c r="T118" s="52"/>
      <c r="U118" s="30"/>
      <c r="V118" s="30"/>
      <c r="W118" s="30"/>
      <c r="X118" s="30"/>
      <c r="Y118" s="30"/>
      <c r="Z118" s="30"/>
      <c r="AA118" s="30"/>
      <c r="AB118" s="30"/>
      <c r="AC118" s="30"/>
      <c r="AD118" s="30"/>
      <c r="AE118" s="30"/>
      <c r="AT118" s="18" t="s">
        <v>142</v>
      </c>
      <c r="AU118" s="18" t="s">
        <v>82</v>
      </c>
    </row>
    <row r="119" spans="1:65" s="2" customFormat="1" ht="49.15" customHeight="1">
      <c r="A119" s="30"/>
      <c r="B119" s="135"/>
      <c r="C119" s="136">
        <v>15</v>
      </c>
      <c r="D119" s="136" t="s">
        <v>136</v>
      </c>
      <c r="E119" s="137" t="s">
        <v>554</v>
      </c>
      <c r="F119" s="138" t="s">
        <v>555</v>
      </c>
      <c r="G119" s="139" t="s">
        <v>229</v>
      </c>
      <c r="H119" s="140">
        <f>H117</f>
        <v>0</v>
      </c>
      <c r="I119" s="141"/>
      <c r="J119" s="141">
        <f>ROUND(I119*H119,2)</f>
        <v>0</v>
      </c>
      <c r="K119" s="138" t="s">
        <v>141</v>
      </c>
      <c r="L119" s="31"/>
      <c r="M119" s="142" t="s">
        <v>3</v>
      </c>
      <c r="N119" s="143" t="s">
        <v>43</v>
      </c>
      <c r="O119" s="144">
        <v>0</v>
      </c>
      <c r="P119" s="144">
        <f>O119*H119</f>
        <v>0</v>
      </c>
      <c r="Q119" s="144">
        <v>0</v>
      </c>
      <c r="R119" s="144">
        <f>Q119*H119</f>
        <v>0</v>
      </c>
      <c r="S119" s="144">
        <v>0</v>
      </c>
      <c r="T119" s="145">
        <f>S119*H119</f>
        <v>0</v>
      </c>
      <c r="U119" s="30"/>
      <c r="V119" s="30"/>
      <c r="W119" s="30"/>
      <c r="X119" s="30"/>
      <c r="Y119" s="30"/>
      <c r="Z119" s="30"/>
      <c r="AA119" s="30"/>
      <c r="AB119" s="30"/>
      <c r="AC119" s="30"/>
      <c r="AD119" s="30"/>
      <c r="AE119" s="30"/>
      <c r="AR119" s="146" t="s">
        <v>154</v>
      </c>
      <c r="AT119" s="146" t="s">
        <v>136</v>
      </c>
      <c r="AU119" s="146" t="s">
        <v>82</v>
      </c>
      <c r="AY119" s="18" t="s">
        <v>133</v>
      </c>
      <c r="BE119" s="147">
        <f>IF(N119="základní",J119,0)</f>
        <v>0</v>
      </c>
      <c r="BF119" s="147">
        <f>IF(N119="snížená",J119,0)</f>
        <v>0</v>
      </c>
      <c r="BG119" s="147">
        <f>IF(N119="zákl. přenesená",J119,0)</f>
        <v>0</v>
      </c>
      <c r="BH119" s="147">
        <f>IF(N119="sníž. přenesená",J119,0)</f>
        <v>0</v>
      </c>
      <c r="BI119" s="147">
        <f>IF(N119="nulová",J119,0)</f>
        <v>0</v>
      </c>
      <c r="BJ119" s="18" t="s">
        <v>80</v>
      </c>
      <c r="BK119" s="147">
        <f>ROUND(I119*H119,2)</f>
        <v>0</v>
      </c>
      <c r="BL119" s="18" t="s">
        <v>154</v>
      </c>
      <c r="BM119" s="146" t="s">
        <v>556</v>
      </c>
    </row>
    <row r="120" spans="1:47" s="2" customFormat="1" ht="126.75">
      <c r="A120" s="30"/>
      <c r="B120" s="31"/>
      <c r="C120" s="30"/>
      <c r="D120" s="149" t="s">
        <v>142</v>
      </c>
      <c r="E120" s="30"/>
      <c r="F120" s="162" t="s">
        <v>283</v>
      </c>
      <c r="G120" s="30"/>
      <c r="H120" s="30"/>
      <c r="I120" s="30"/>
      <c r="J120" s="30"/>
      <c r="K120" s="30"/>
      <c r="L120" s="31"/>
      <c r="M120" s="163"/>
      <c r="N120" s="164"/>
      <c r="O120" s="51"/>
      <c r="P120" s="51"/>
      <c r="Q120" s="51"/>
      <c r="R120" s="51"/>
      <c r="S120" s="51"/>
      <c r="T120" s="52"/>
      <c r="U120" s="30"/>
      <c r="V120" s="30"/>
      <c r="W120" s="30"/>
      <c r="X120" s="30"/>
      <c r="Y120" s="30"/>
      <c r="Z120" s="30"/>
      <c r="AA120" s="30"/>
      <c r="AB120" s="30"/>
      <c r="AC120" s="30"/>
      <c r="AD120" s="30"/>
      <c r="AE120" s="30"/>
      <c r="AT120" s="18" t="s">
        <v>142</v>
      </c>
      <c r="AU120" s="18" t="s">
        <v>82</v>
      </c>
    </row>
    <row r="121" spans="2:63" s="12" customFormat="1" ht="22.9" customHeight="1">
      <c r="B121" s="123"/>
      <c r="D121" s="124" t="s">
        <v>71</v>
      </c>
      <c r="E121" s="133" t="s">
        <v>338</v>
      </c>
      <c r="F121" s="133" t="s">
        <v>339</v>
      </c>
      <c r="J121" s="134">
        <f>BK121</f>
        <v>0</v>
      </c>
      <c r="L121" s="123"/>
      <c r="M121" s="127"/>
      <c r="N121" s="128"/>
      <c r="O121" s="128"/>
      <c r="P121" s="129">
        <f>SUM(P122:P124)</f>
        <v>0.117</v>
      </c>
      <c r="Q121" s="128"/>
      <c r="R121" s="129">
        <f>SUM(R122:R124)</f>
        <v>0.00012000000000000002</v>
      </c>
      <c r="S121" s="128"/>
      <c r="T121" s="130">
        <f>SUM(T122:T124)</f>
        <v>0</v>
      </c>
      <c r="AR121" s="124" t="s">
        <v>82</v>
      </c>
      <c r="AT121" s="131" t="s">
        <v>71</v>
      </c>
      <c r="AU121" s="131" t="s">
        <v>80</v>
      </c>
      <c r="AY121" s="124" t="s">
        <v>133</v>
      </c>
      <c r="BK121" s="132">
        <f>SUM(BK122:BK124)</f>
        <v>0</v>
      </c>
    </row>
    <row r="122" spans="1:65" s="2" customFormat="1" ht="37.9" customHeight="1">
      <c r="A122" s="30"/>
      <c r="B122" s="135"/>
      <c r="C122" s="136">
        <v>16</v>
      </c>
      <c r="D122" s="136" t="s">
        <v>136</v>
      </c>
      <c r="E122" s="137" t="s">
        <v>557</v>
      </c>
      <c r="F122" s="138" t="s">
        <v>558</v>
      </c>
      <c r="G122" s="139" t="s">
        <v>151</v>
      </c>
      <c r="H122" s="140">
        <f>H93</f>
        <v>3</v>
      </c>
      <c r="I122" s="141"/>
      <c r="J122" s="141">
        <f>ROUND(I122*H122,2)</f>
        <v>0</v>
      </c>
      <c r="K122" s="138" t="s">
        <v>141</v>
      </c>
      <c r="L122" s="31"/>
      <c r="M122" s="142" t="s">
        <v>3</v>
      </c>
      <c r="N122" s="143" t="s">
        <v>43</v>
      </c>
      <c r="O122" s="144">
        <v>0.011</v>
      </c>
      <c r="P122" s="144">
        <f>O122*H122</f>
        <v>0.033</v>
      </c>
      <c r="Q122" s="144">
        <v>2E-05</v>
      </c>
      <c r="R122" s="144">
        <f>Q122*H122</f>
        <v>6.000000000000001E-05</v>
      </c>
      <c r="S122" s="144">
        <v>0</v>
      </c>
      <c r="T122" s="145">
        <f>S122*H122</f>
        <v>0</v>
      </c>
      <c r="U122" s="30"/>
      <c r="V122" s="30"/>
      <c r="W122" s="30"/>
      <c r="X122" s="30"/>
      <c r="Y122" s="30"/>
      <c r="Z122" s="30"/>
      <c r="AA122" s="30"/>
      <c r="AB122" s="30"/>
      <c r="AC122" s="30"/>
      <c r="AD122" s="30"/>
      <c r="AE122" s="30"/>
      <c r="AR122" s="146" t="s">
        <v>154</v>
      </c>
      <c r="AT122" s="146" t="s">
        <v>136</v>
      </c>
      <c r="AU122" s="146" t="s">
        <v>82</v>
      </c>
      <c r="AY122" s="18" t="s">
        <v>133</v>
      </c>
      <c r="BE122" s="147">
        <f>IF(N122="základní",J122,0)</f>
        <v>0</v>
      </c>
      <c r="BF122" s="147">
        <f>IF(N122="snížená",J122,0)</f>
        <v>0</v>
      </c>
      <c r="BG122" s="147">
        <f>IF(N122="zákl. přenesená",J122,0)</f>
        <v>0</v>
      </c>
      <c r="BH122" s="147">
        <f>IF(N122="sníž. přenesená",J122,0)</f>
        <v>0</v>
      </c>
      <c r="BI122" s="147">
        <f>IF(N122="nulová",J122,0)</f>
        <v>0</v>
      </c>
      <c r="BJ122" s="18" t="s">
        <v>80</v>
      </c>
      <c r="BK122" s="147">
        <f>ROUND(I122*H122,2)</f>
        <v>0</v>
      </c>
      <c r="BL122" s="18" t="s">
        <v>154</v>
      </c>
      <c r="BM122" s="146" t="s">
        <v>559</v>
      </c>
    </row>
    <row r="123" spans="2:51" s="13" customFormat="1" ht="12">
      <c r="B123" s="148"/>
      <c r="D123" s="149" t="s">
        <v>139</v>
      </c>
      <c r="E123" s="150" t="s">
        <v>3</v>
      </c>
      <c r="F123" s="151" t="s">
        <v>152</v>
      </c>
      <c r="H123" s="150" t="s">
        <v>3</v>
      </c>
      <c r="L123" s="148"/>
      <c r="M123" s="152"/>
      <c r="N123" s="153"/>
      <c r="O123" s="153"/>
      <c r="P123" s="153"/>
      <c r="Q123" s="153"/>
      <c r="R123" s="153"/>
      <c r="S123" s="153"/>
      <c r="T123" s="154"/>
      <c r="AT123" s="150" t="s">
        <v>139</v>
      </c>
      <c r="AU123" s="150" t="s">
        <v>82</v>
      </c>
      <c r="AV123" s="13" t="s">
        <v>80</v>
      </c>
      <c r="AW123" s="13" t="s">
        <v>34</v>
      </c>
      <c r="AX123" s="13" t="s">
        <v>72</v>
      </c>
      <c r="AY123" s="150" t="s">
        <v>133</v>
      </c>
    </row>
    <row r="124" spans="1:65" s="2" customFormat="1" ht="24.2" customHeight="1">
      <c r="A124" s="30"/>
      <c r="B124" s="135"/>
      <c r="C124" s="136">
        <v>17</v>
      </c>
      <c r="D124" s="136" t="s">
        <v>136</v>
      </c>
      <c r="E124" s="137" t="s">
        <v>560</v>
      </c>
      <c r="F124" s="138" t="s">
        <v>561</v>
      </c>
      <c r="G124" s="139" t="s">
        <v>151</v>
      </c>
      <c r="H124" s="140">
        <f>H122</f>
        <v>3</v>
      </c>
      <c r="I124" s="141"/>
      <c r="J124" s="141">
        <f>ROUND(I124*H124,2)</f>
        <v>0</v>
      </c>
      <c r="K124" s="138" t="s">
        <v>141</v>
      </c>
      <c r="L124" s="31"/>
      <c r="M124" s="142" t="s">
        <v>3</v>
      </c>
      <c r="N124" s="143" t="s">
        <v>43</v>
      </c>
      <c r="O124" s="144">
        <v>0.028</v>
      </c>
      <c r="P124" s="144">
        <f>O124*H124</f>
        <v>0.084</v>
      </c>
      <c r="Q124" s="144">
        <v>2E-05</v>
      </c>
      <c r="R124" s="144">
        <f>Q124*H124</f>
        <v>6.000000000000001E-05</v>
      </c>
      <c r="S124" s="144">
        <v>0</v>
      </c>
      <c r="T124" s="145">
        <f>S124*H124</f>
        <v>0</v>
      </c>
      <c r="U124" s="30"/>
      <c r="V124" s="30"/>
      <c r="W124" s="30"/>
      <c r="X124" s="30"/>
      <c r="Y124" s="30"/>
      <c r="Z124" s="30"/>
      <c r="AA124" s="30"/>
      <c r="AB124" s="30"/>
      <c r="AC124" s="30"/>
      <c r="AD124" s="30"/>
      <c r="AE124" s="30"/>
      <c r="AR124" s="146" t="s">
        <v>154</v>
      </c>
      <c r="AT124" s="146" t="s">
        <v>136</v>
      </c>
      <c r="AU124" s="146" t="s">
        <v>82</v>
      </c>
      <c r="AY124" s="18" t="s">
        <v>133</v>
      </c>
      <c r="BE124" s="147">
        <f>IF(N124="základní",J124,0)</f>
        <v>0</v>
      </c>
      <c r="BF124" s="147">
        <f>IF(N124="snížená",J124,0)</f>
        <v>0</v>
      </c>
      <c r="BG124" s="147">
        <f>IF(N124="zákl. přenesená",J124,0)</f>
        <v>0</v>
      </c>
      <c r="BH124" s="147">
        <f>IF(N124="sníž. přenesená",J124,0)</f>
        <v>0</v>
      </c>
      <c r="BI124" s="147">
        <f>IF(N124="nulová",J124,0)</f>
        <v>0</v>
      </c>
      <c r="BJ124" s="18" t="s">
        <v>80</v>
      </c>
      <c r="BK124" s="147">
        <f>ROUND(I124*H124,2)</f>
        <v>0</v>
      </c>
      <c r="BL124" s="18" t="s">
        <v>154</v>
      </c>
      <c r="BM124" s="146" t="s">
        <v>562</v>
      </c>
    </row>
    <row r="125" spans="2:63" s="12" customFormat="1" ht="25.9" customHeight="1">
      <c r="B125" s="123"/>
      <c r="D125" s="124" t="s">
        <v>71</v>
      </c>
      <c r="E125" s="125" t="s">
        <v>491</v>
      </c>
      <c r="F125" s="125" t="s">
        <v>492</v>
      </c>
      <c r="J125" s="126">
        <f>BK125</f>
        <v>0</v>
      </c>
      <c r="L125" s="123"/>
      <c r="M125" s="127"/>
      <c r="N125" s="128"/>
      <c r="O125" s="128"/>
      <c r="P125" s="129">
        <f>SUM(P126:P129)</f>
        <v>6</v>
      </c>
      <c r="Q125" s="128"/>
      <c r="R125" s="129">
        <f>SUM(R126:R129)</f>
        <v>0</v>
      </c>
      <c r="S125" s="128"/>
      <c r="T125" s="130">
        <f>SUM(T126:T129)</f>
        <v>0</v>
      </c>
      <c r="AR125" s="124" t="s">
        <v>138</v>
      </c>
      <c r="AT125" s="131" t="s">
        <v>71</v>
      </c>
      <c r="AU125" s="131" t="s">
        <v>72</v>
      </c>
      <c r="AY125" s="124" t="s">
        <v>133</v>
      </c>
      <c r="BK125" s="132">
        <f>SUM(BK126:BK129)</f>
        <v>0</v>
      </c>
    </row>
    <row r="126" spans="1:65" s="2" customFormat="1" ht="24.2" customHeight="1">
      <c r="A126" s="30"/>
      <c r="B126" s="135"/>
      <c r="C126" s="136">
        <v>18</v>
      </c>
      <c r="D126" s="136" t="s">
        <v>136</v>
      </c>
      <c r="E126" s="137" t="s">
        <v>563</v>
      </c>
      <c r="F126" s="138" t="s">
        <v>564</v>
      </c>
      <c r="G126" s="139" t="s">
        <v>495</v>
      </c>
      <c r="H126" s="140">
        <v>3</v>
      </c>
      <c r="I126" s="141"/>
      <c r="J126" s="141">
        <f>ROUND(I126*H126,2)</f>
        <v>0</v>
      </c>
      <c r="K126" s="138" t="s">
        <v>141</v>
      </c>
      <c r="L126" s="31"/>
      <c r="M126" s="142" t="s">
        <v>3</v>
      </c>
      <c r="N126" s="143" t="s">
        <v>43</v>
      </c>
      <c r="O126" s="144">
        <v>1</v>
      </c>
      <c r="P126" s="144">
        <f>O126*H126</f>
        <v>3</v>
      </c>
      <c r="Q126" s="144">
        <v>0</v>
      </c>
      <c r="R126" s="144">
        <f>Q126*H126</f>
        <v>0</v>
      </c>
      <c r="S126" s="144">
        <v>0</v>
      </c>
      <c r="T126" s="145">
        <f>S126*H126</f>
        <v>0</v>
      </c>
      <c r="U126" s="30"/>
      <c r="V126" s="30"/>
      <c r="W126" s="30"/>
      <c r="X126" s="30"/>
      <c r="Y126" s="30"/>
      <c r="Z126" s="30"/>
      <c r="AA126" s="30"/>
      <c r="AB126" s="30"/>
      <c r="AC126" s="30"/>
      <c r="AD126" s="30"/>
      <c r="AE126" s="30"/>
      <c r="AR126" s="146" t="s">
        <v>496</v>
      </c>
      <c r="AT126" s="146" t="s">
        <v>136</v>
      </c>
      <c r="AU126" s="146" t="s">
        <v>80</v>
      </c>
      <c r="AY126" s="18" t="s">
        <v>133</v>
      </c>
      <c r="BE126" s="147">
        <f>IF(N126="základní",J126,0)</f>
        <v>0</v>
      </c>
      <c r="BF126" s="147">
        <f>IF(N126="snížená",J126,0)</f>
        <v>0</v>
      </c>
      <c r="BG126" s="147">
        <f>IF(N126="zákl. přenesená",J126,0)</f>
        <v>0</v>
      </c>
      <c r="BH126" s="147">
        <f>IF(N126="sníž. přenesená",J126,0)</f>
        <v>0</v>
      </c>
      <c r="BI126" s="147">
        <f>IF(N126="nulová",J126,0)</f>
        <v>0</v>
      </c>
      <c r="BJ126" s="18" t="s">
        <v>80</v>
      </c>
      <c r="BK126" s="147">
        <f>ROUND(I126*H126,2)</f>
        <v>0</v>
      </c>
      <c r="BL126" s="18" t="s">
        <v>496</v>
      </c>
      <c r="BM126" s="146" t="s">
        <v>565</v>
      </c>
    </row>
    <row r="127" spans="1:47" s="2" customFormat="1" ht="29.25">
      <c r="A127" s="30"/>
      <c r="B127" s="31"/>
      <c r="C127" s="30"/>
      <c r="D127" s="149" t="s">
        <v>170</v>
      </c>
      <c r="E127" s="30"/>
      <c r="F127" s="162" t="s">
        <v>566</v>
      </c>
      <c r="G127" s="30"/>
      <c r="H127" s="30"/>
      <c r="I127" s="30"/>
      <c r="J127" s="30"/>
      <c r="K127" s="30"/>
      <c r="L127" s="31"/>
      <c r="M127" s="163"/>
      <c r="N127" s="164"/>
      <c r="O127" s="51"/>
      <c r="P127" s="51"/>
      <c r="Q127" s="51"/>
      <c r="R127" s="51"/>
      <c r="S127" s="51"/>
      <c r="T127" s="52"/>
      <c r="U127" s="30"/>
      <c r="V127" s="30"/>
      <c r="W127" s="30"/>
      <c r="X127" s="30"/>
      <c r="Y127" s="30"/>
      <c r="Z127" s="30"/>
      <c r="AA127" s="30"/>
      <c r="AB127" s="30"/>
      <c r="AC127" s="30"/>
      <c r="AD127" s="30"/>
      <c r="AE127" s="30"/>
      <c r="AT127" s="18" t="s">
        <v>170</v>
      </c>
      <c r="AU127" s="18" t="s">
        <v>80</v>
      </c>
    </row>
    <row r="128" spans="1:65" s="2" customFormat="1" ht="24.2" customHeight="1">
      <c r="A128" s="30"/>
      <c r="B128" s="135"/>
      <c r="C128" s="136">
        <v>19</v>
      </c>
      <c r="D128" s="136" t="s">
        <v>136</v>
      </c>
      <c r="E128" s="137" t="s">
        <v>567</v>
      </c>
      <c r="F128" s="138" t="s">
        <v>568</v>
      </c>
      <c r="G128" s="139" t="s">
        <v>495</v>
      </c>
      <c r="H128" s="140">
        <v>3</v>
      </c>
      <c r="I128" s="141"/>
      <c r="J128" s="141">
        <f>ROUND(I128*H128,2)</f>
        <v>0</v>
      </c>
      <c r="K128" s="138" t="s">
        <v>141</v>
      </c>
      <c r="L128" s="31"/>
      <c r="M128" s="142" t="s">
        <v>3</v>
      </c>
      <c r="N128" s="143" t="s">
        <v>43</v>
      </c>
      <c r="O128" s="144">
        <v>1</v>
      </c>
      <c r="P128" s="144">
        <f>O128*H128</f>
        <v>3</v>
      </c>
      <c r="Q128" s="144">
        <v>0</v>
      </c>
      <c r="R128" s="144">
        <f>Q128*H128</f>
        <v>0</v>
      </c>
      <c r="S128" s="144">
        <v>0</v>
      </c>
      <c r="T128" s="145">
        <f>S128*H128</f>
        <v>0</v>
      </c>
      <c r="U128" s="30"/>
      <c r="V128" s="30"/>
      <c r="W128" s="30"/>
      <c r="X128" s="30"/>
      <c r="Y128" s="30"/>
      <c r="Z128" s="30"/>
      <c r="AA128" s="30"/>
      <c r="AB128" s="30"/>
      <c r="AC128" s="30"/>
      <c r="AD128" s="30"/>
      <c r="AE128" s="30"/>
      <c r="AR128" s="146" t="s">
        <v>496</v>
      </c>
      <c r="AT128" s="146" t="s">
        <v>136</v>
      </c>
      <c r="AU128" s="146" t="s">
        <v>80</v>
      </c>
      <c r="AY128" s="18" t="s">
        <v>133</v>
      </c>
      <c r="BE128" s="147">
        <f>IF(N128="základní",J128,0)</f>
        <v>0</v>
      </c>
      <c r="BF128" s="147">
        <f>IF(N128="snížená",J128,0)</f>
        <v>0</v>
      </c>
      <c r="BG128" s="147">
        <f>IF(N128="zákl. přenesená",J128,0)</f>
        <v>0</v>
      </c>
      <c r="BH128" s="147">
        <f>IF(N128="sníž. přenesená",J128,0)</f>
        <v>0</v>
      </c>
      <c r="BI128" s="147">
        <f>IF(N128="nulová",J128,0)</f>
        <v>0</v>
      </c>
      <c r="BJ128" s="18" t="s">
        <v>80</v>
      </c>
      <c r="BK128" s="147">
        <f>ROUND(I128*H128,2)</f>
        <v>0</v>
      </c>
      <c r="BL128" s="18" t="s">
        <v>496</v>
      </c>
      <c r="BM128" s="146" t="s">
        <v>569</v>
      </c>
    </row>
    <row r="129" spans="1:47" s="2" customFormat="1" ht="19.5">
      <c r="A129" s="30"/>
      <c r="B129" s="31"/>
      <c r="C129" s="30"/>
      <c r="D129" s="149" t="s">
        <v>170</v>
      </c>
      <c r="E129" s="30"/>
      <c r="F129" s="162" t="s">
        <v>570</v>
      </c>
      <c r="G129" s="30"/>
      <c r="H129" s="30"/>
      <c r="I129" s="30"/>
      <c r="J129" s="30"/>
      <c r="K129" s="30"/>
      <c r="L129" s="31"/>
      <c r="M129" s="181"/>
      <c r="N129" s="182"/>
      <c r="O129" s="183"/>
      <c r="P129" s="183"/>
      <c r="Q129" s="183"/>
      <c r="R129" s="183"/>
      <c r="S129" s="183"/>
      <c r="T129" s="184"/>
      <c r="U129" s="30"/>
      <c r="V129" s="30"/>
      <c r="W129" s="30"/>
      <c r="X129" s="30"/>
      <c r="Y129" s="30"/>
      <c r="Z129" s="30"/>
      <c r="AA129" s="30"/>
      <c r="AB129" s="30"/>
      <c r="AC129" s="30"/>
      <c r="AD129" s="30"/>
      <c r="AE129" s="30"/>
      <c r="AT129" s="18" t="s">
        <v>170</v>
      </c>
      <c r="AU129" s="18" t="s">
        <v>80</v>
      </c>
    </row>
    <row r="130" spans="1:31" s="2" customFormat="1" ht="6.95" customHeight="1">
      <c r="A130" s="30"/>
      <c r="B130" s="40"/>
      <c r="C130" s="41"/>
      <c r="D130" s="41"/>
      <c r="E130" s="41"/>
      <c r="F130" s="41"/>
      <c r="G130" s="41"/>
      <c r="H130" s="41"/>
      <c r="I130" s="41"/>
      <c r="J130" s="41"/>
      <c r="K130" s="41"/>
      <c r="L130" s="31"/>
      <c r="M130" s="30"/>
      <c r="O130" s="30"/>
      <c r="P130" s="30"/>
      <c r="Q130" s="30"/>
      <c r="R130" s="30"/>
      <c r="S130" s="30"/>
      <c r="T130" s="30"/>
      <c r="U130" s="30"/>
      <c r="V130" s="30"/>
      <c r="W130" s="30"/>
      <c r="X130" s="30"/>
      <c r="Y130" s="30"/>
      <c r="Z130" s="30"/>
      <c r="AA130" s="30"/>
      <c r="AB130" s="30"/>
      <c r="AC130" s="30"/>
      <c r="AD130" s="30"/>
      <c r="AE130" s="30"/>
    </row>
  </sheetData>
  <autoFilter ref="C84:K129"/>
  <mergeCells count="9">
    <mergeCell ref="E50:H50"/>
    <mergeCell ref="E75:H75"/>
    <mergeCell ref="E77:H77"/>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2" manualBreakCount="2">
    <brk id="99" min="2" max="16383" man="1"/>
    <brk id="120" min="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193"/>
  <sheetViews>
    <sheetView showGridLines="0" view="pageBreakPreview" zoomScaleSheetLayoutView="100" workbookViewId="0" topLeftCell="A186">
      <selection activeCell="I191" sqref="I92:I19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17" t="s">
        <v>6</v>
      </c>
      <c r="M2" s="318"/>
      <c r="N2" s="318"/>
      <c r="O2" s="318"/>
      <c r="P2" s="318"/>
      <c r="Q2" s="318"/>
      <c r="R2" s="318"/>
      <c r="S2" s="318"/>
      <c r="T2" s="318"/>
      <c r="U2" s="318"/>
      <c r="V2" s="318"/>
      <c r="AT2" s="18" t="s">
        <v>91</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87" t="s">
        <v>11</v>
      </c>
      <c r="AT4" s="18" t="s">
        <v>4</v>
      </c>
    </row>
    <row r="5" spans="2:12" s="1" customFormat="1" ht="6.95" customHeight="1">
      <c r="B5" s="21"/>
      <c r="L5" s="21"/>
    </row>
    <row r="6" spans="2:12" s="1" customFormat="1" ht="12" customHeight="1">
      <c r="B6" s="21"/>
      <c r="D6" s="27" t="s">
        <v>14</v>
      </c>
      <c r="L6" s="21"/>
    </row>
    <row r="7" spans="2:12" s="1" customFormat="1" ht="23.25" customHeight="1">
      <c r="B7" s="21"/>
      <c r="E7" s="352" t="str">
        <f>'Rekapitulace stavby'!K6</f>
        <v>Modernizace prostor ambulancí chirurgického oddělení v suterénu budovy A - Nemocnice Nymburk, s.r.o.</v>
      </c>
      <c r="F7" s="353"/>
      <c r="G7" s="353"/>
      <c r="H7" s="353"/>
      <c r="L7" s="21"/>
    </row>
    <row r="8" spans="1:31" s="2" customFormat="1" ht="12" customHeight="1">
      <c r="A8" s="30"/>
      <c r="B8" s="31"/>
      <c r="C8" s="30"/>
      <c r="D8" s="27" t="s">
        <v>99</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42" t="s">
        <v>571</v>
      </c>
      <c r="F9" s="351"/>
      <c r="G9" s="351"/>
      <c r="H9" s="351"/>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16</v>
      </c>
      <c r="G11" s="30"/>
      <c r="H11" s="30"/>
      <c r="I11" s="27" t="s">
        <v>17</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19</v>
      </c>
      <c r="E12" s="30"/>
      <c r="F12" s="25" t="s">
        <v>20</v>
      </c>
      <c r="G12" s="30"/>
      <c r="H12" s="30"/>
      <c r="I12" s="27" t="s">
        <v>21</v>
      </c>
      <c r="J12" s="48">
        <f>'Rekapitulace stavby'!AN8</f>
        <v>44152</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24</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25</v>
      </c>
      <c r="F15" s="30"/>
      <c r="G15" s="30"/>
      <c r="H15" s="30"/>
      <c r="I15" s="27" t="s">
        <v>26</v>
      </c>
      <c r="J15" s="25" t="s">
        <v>27</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28</v>
      </c>
      <c r="E17" s="30"/>
      <c r="F17" s="30"/>
      <c r="G17" s="30"/>
      <c r="H17" s="30"/>
      <c r="I17" s="27" t="s">
        <v>23</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26" t="str">
        <f>'Rekapitulace stavby'!E14</f>
        <v xml:space="preserve"> </v>
      </c>
      <c r="F18" s="326"/>
      <c r="G18" s="326"/>
      <c r="H18" s="326"/>
      <c r="I18" s="27" t="s">
        <v>26</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30</v>
      </c>
      <c r="E20" s="30"/>
      <c r="F20" s="30"/>
      <c r="G20" s="30"/>
      <c r="H20" s="30"/>
      <c r="I20" s="27" t="s">
        <v>23</v>
      </c>
      <c r="J20" s="25" t="s">
        <v>31</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32</v>
      </c>
      <c r="F21" s="30"/>
      <c r="G21" s="30"/>
      <c r="H21" s="30"/>
      <c r="I21" s="27" t="s">
        <v>26</v>
      </c>
      <c r="J21" s="25" t="s">
        <v>33</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35</v>
      </c>
      <c r="E23" s="30"/>
      <c r="F23" s="30"/>
      <c r="G23" s="30"/>
      <c r="H23" s="30"/>
      <c r="I23" s="27" t="s">
        <v>23</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26</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28" t="s">
        <v>37</v>
      </c>
      <c r="F27" s="328"/>
      <c r="G27" s="328"/>
      <c r="H27" s="328"/>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38</v>
      </c>
      <c r="E30" s="30"/>
      <c r="F30" s="30"/>
      <c r="G30" s="30"/>
      <c r="H30" s="30"/>
      <c r="I30" s="30"/>
      <c r="J30" s="64">
        <f>ROUND(J89,2)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t="s">
        <v>39</v>
      </c>
      <c r="J32" s="34" t="s">
        <v>41</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42</v>
      </c>
      <c r="E33" s="27" t="s">
        <v>43</v>
      </c>
      <c r="F33" s="94">
        <f>ROUND((SUM(BE89:BE192)),2)</f>
        <v>0</v>
      </c>
      <c r="G33" s="30"/>
      <c r="H33" s="30"/>
      <c r="I33" s="95">
        <v>0.21</v>
      </c>
      <c r="J33" s="94">
        <f>ROUND(((SUM(BE89:BE192))*I33),2)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44</v>
      </c>
      <c r="F34" s="94">
        <f>ROUND((SUM(BF89:BF192)),2)</f>
        <v>0</v>
      </c>
      <c r="G34" s="30"/>
      <c r="H34" s="30"/>
      <c r="I34" s="95">
        <v>0.15</v>
      </c>
      <c r="J34" s="94">
        <f>ROUND(((SUM(BF89:BF192))*I34),2)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45</v>
      </c>
      <c r="F35" s="94">
        <f>ROUND((SUM(BG89:BG192)),2)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46</v>
      </c>
      <c r="F36" s="94">
        <f>ROUND((SUM(BH89:BH192)),2)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47</v>
      </c>
      <c r="F37" s="94">
        <f>ROUND((SUM(BI89:BI192)),2)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48</v>
      </c>
      <c r="E39" s="53"/>
      <c r="F39" s="53"/>
      <c r="G39" s="98" t="s">
        <v>49</v>
      </c>
      <c r="H39" s="99" t="s">
        <v>50</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101</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14</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352" t="str">
        <f>E7</f>
        <v>Modernizace prostor ambulancí chirurgického oddělení v suterénu budovy A - Nemocnice Nymburk, s.r.o.</v>
      </c>
      <c r="F48" s="353"/>
      <c r="G48" s="353"/>
      <c r="H48" s="353"/>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99</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42" t="str">
        <f>E9</f>
        <v>04 - Elektroinstalace</v>
      </c>
      <c r="F50" s="351"/>
      <c r="G50" s="351"/>
      <c r="H50" s="351"/>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19</v>
      </c>
      <c r="D52" s="30"/>
      <c r="E52" s="30"/>
      <c r="F52" s="25" t="str">
        <f>F12</f>
        <v>Nymburk</v>
      </c>
      <c r="G52" s="30"/>
      <c r="H52" s="30"/>
      <c r="I52" s="27" t="s">
        <v>21</v>
      </c>
      <c r="J52" s="48">
        <f>IF(J12="","",J12)</f>
        <v>44152</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22</v>
      </c>
      <c r="D54" s="30"/>
      <c r="E54" s="30"/>
      <c r="F54" s="25" t="str">
        <f>E15</f>
        <v>Nemocnice Nymburk s.r.o.</v>
      </c>
      <c r="G54" s="30"/>
      <c r="H54" s="30"/>
      <c r="I54" s="27" t="s">
        <v>30</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28</v>
      </c>
      <c r="D55" s="30"/>
      <c r="E55" s="30"/>
      <c r="F55" s="25" t="str">
        <f>IF(E18="","",E18)</f>
        <v xml:space="preserve"> </v>
      </c>
      <c r="G55" s="30"/>
      <c r="H55" s="30"/>
      <c r="I55" s="27" t="s">
        <v>35</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102</v>
      </c>
      <c r="D57" s="96"/>
      <c r="E57" s="96"/>
      <c r="F57" s="96"/>
      <c r="G57" s="96"/>
      <c r="H57" s="96"/>
      <c r="I57" s="96"/>
      <c r="J57" s="103" t="s">
        <v>103</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70</v>
      </c>
      <c r="D59" s="30"/>
      <c r="E59" s="30"/>
      <c r="F59" s="30"/>
      <c r="G59" s="30"/>
      <c r="H59" s="30"/>
      <c r="I59" s="30"/>
      <c r="J59" s="64">
        <f>J89</f>
        <v>0</v>
      </c>
      <c r="K59" s="30"/>
      <c r="L59" s="88"/>
      <c r="S59" s="30"/>
      <c r="T59" s="30"/>
      <c r="U59" s="30"/>
      <c r="V59" s="30"/>
      <c r="W59" s="30"/>
      <c r="X59" s="30"/>
      <c r="Y59" s="30"/>
      <c r="Z59" s="30"/>
      <c r="AA59" s="30"/>
      <c r="AB59" s="30"/>
      <c r="AC59" s="30"/>
      <c r="AD59" s="30"/>
      <c r="AE59" s="30"/>
      <c r="AU59" s="18" t="s">
        <v>104</v>
      </c>
    </row>
    <row r="60" spans="2:12" s="9" customFormat="1" ht="24.95" customHeight="1">
      <c r="B60" s="105"/>
      <c r="D60" s="106" t="s">
        <v>105</v>
      </c>
      <c r="E60" s="107"/>
      <c r="F60" s="107"/>
      <c r="G60" s="107"/>
      <c r="H60" s="107"/>
      <c r="I60" s="107"/>
      <c r="J60" s="108">
        <f>J90</f>
        <v>0</v>
      </c>
      <c r="L60" s="105"/>
    </row>
    <row r="61" spans="2:12" s="10" customFormat="1" ht="19.9" customHeight="1">
      <c r="B61" s="109"/>
      <c r="D61" s="110" t="s">
        <v>106</v>
      </c>
      <c r="E61" s="111"/>
      <c r="F61" s="111"/>
      <c r="G61" s="111"/>
      <c r="H61" s="111"/>
      <c r="I61" s="111"/>
      <c r="J61" s="112">
        <f>J91</f>
        <v>0</v>
      </c>
      <c r="L61" s="109"/>
    </row>
    <row r="62" spans="2:12" s="10" customFormat="1" ht="19.9" customHeight="1">
      <c r="B62" s="109"/>
      <c r="D62" s="110" t="s">
        <v>107</v>
      </c>
      <c r="E62" s="111"/>
      <c r="F62" s="111"/>
      <c r="G62" s="111"/>
      <c r="H62" s="111"/>
      <c r="I62" s="111"/>
      <c r="J62" s="112">
        <f>J98</f>
        <v>0</v>
      </c>
      <c r="L62" s="109"/>
    </row>
    <row r="63" spans="2:12" s="10" customFormat="1" ht="19.9" customHeight="1">
      <c r="B63" s="109"/>
      <c r="D63" s="110" t="s">
        <v>108</v>
      </c>
      <c r="E63" s="111"/>
      <c r="F63" s="111"/>
      <c r="G63" s="111"/>
      <c r="H63" s="111"/>
      <c r="I63" s="111"/>
      <c r="J63" s="112">
        <f>J103</f>
        <v>0</v>
      </c>
      <c r="L63" s="109"/>
    </row>
    <row r="64" spans="2:12" s="10" customFormat="1" ht="19.9" customHeight="1">
      <c r="B64" s="109"/>
      <c r="D64" s="110" t="s">
        <v>109</v>
      </c>
      <c r="E64" s="111"/>
      <c r="F64" s="111"/>
      <c r="G64" s="111"/>
      <c r="H64" s="111"/>
      <c r="I64" s="111"/>
      <c r="J64" s="112">
        <f>J110</f>
        <v>0</v>
      </c>
      <c r="L64" s="109"/>
    </row>
    <row r="65" spans="2:12" s="10" customFormat="1" ht="19.9" customHeight="1">
      <c r="B65" s="109"/>
      <c r="D65" s="110" t="s">
        <v>110</v>
      </c>
      <c r="E65" s="111"/>
      <c r="F65" s="111"/>
      <c r="G65" s="111"/>
      <c r="H65" s="111"/>
      <c r="I65" s="111"/>
      <c r="J65" s="112">
        <f>J124</f>
        <v>0</v>
      </c>
      <c r="L65" s="109"/>
    </row>
    <row r="66" spans="2:12" s="9" customFormat="1" ht="24.95" customHeight="1">
      <c r="B66" s="105"/>
      <c r="D66" s="106" t="s">
        <v>111</v>
      </c>
      <c r="E66" s="107"/>
      <c r="F66" s="107"/>
      <c r="G66" s="107"/>
      <c r="H66" s="107"/>
      <c r="I66" s="107"/>
      <c r="J66" s="108">
        <f>J127</f>
        <v>0</v>
      </c>
      <c r="L66" s="105"/>
    </row>
    <row r="67" spans="2:12" s="10" customFormat="1" ht="19.9" customHeight="1">
      <c r="B67" s="109"/>
      <c r="D67" s="110" t="s">
        <v>572</v>
      </c>
      <c r="E67" s="111"/>
      <c r="F67" s="111"/>
      <c r="G67" s="111"/>
      <c r="H67" s="111"/>
      <c r="I67" s="111"/>
      <c r="J67" s="112">
        <f>J128</f>
        <v>0</v>
      </c>
      <c r="L67" s="109"/>
    </row>
    <row r="68" spans="2:12" s="10" customFormat="1" ht="19.9" customHeight="1">
      <c r="B68" s="109"/>
      <c r="D68" s="110" t="s">
        <v>573</v>
      </c>
      <c r="E68" s="111"/>
      <c r="F68" s="111"/>
      <c r="G68" s="111"/>
      <c r="H68" s="111"/>
      <c r="I68" s="111"/>
      <c r="J68" s="112">
        <f>J168</f>
        <v>0</v>
      </c>
      <c r="L68" s="109"/>
    </row>
    <row r="69" spans="2:12" s="9" customFormat="1" ht="24.95" customHeight="1">
      <c r="B69" s="105"/>
      <c r="D69" s="106" t="s">
        <v>378</v>
      </c>
      <c r="E69" s="107"/>
      <c r="F69" s="107"/>
      <c r="G69" s="107"/>
      <c r="H69" s="107"/>
      <c r="I69" s="107"/>
      <c r="J69" s="108">
        <f>J188</f>
        <v>0</v>
      </c>
      <c r="L69" s="105"/>
    </row>
    <row r="70" spans="1:31" s="2" customFormat="1" ht="21.75" customHeight="1">
      <c r="A70" s="30"/>
      <c r="B70" s="31"/>
      <c r="C70" s="30"/>
      <c r="D70" s="30"/>
      <c r="E70" s="30"/>
      <c r="F70" s="30"/>
      <c r="G70" s="30"/>
      <c r="H70" s="30"/>
      <c r="I70" s="30"/>
      <c r="J70" s="30"/>
      <c r="K70" s="30"/>
      <c r="L70" s="88"/>
      <c r="S70" s="30"/>
      <c r="T70" s="30"/>
      <c r="U70" s="30"/>
      <c r="V70" s="30"/>
      <c r="W70" s="30"/>
      <c r="X70" s="30"/>
      <c r="Y70" s="30"/>
      <c r="Z70" s="30"/>
      <c r="AA70" s="30"/>
      <c r="AB70" s="30"/>
      <c r="AC70" s="30"/>
      <c r="AD70" s="30"/>
      <c r="AE70" s="30"/>
    </row>
    <row r="71" spans="1:31" s="2" customFormat="1" ht="6.95" customHeight="1">
      <c r="A71" s="30"/>
      <c r="B71" s="40"/>
      <c r="C71" s="41"/>
      <c r="D71" s="41"/>
      <c r="E71" s="41"/>
      <c r="F71" s="41"/>
      <c r="G71" s="41"/>
      <c r="H71" s="41"/>
      <c r="I71" s="41"/>
      <c r="J71" s="41"/>
      <c r="K71" s="41"/>
      <c r="L71" s="88"/>
      <c r="S71" s="30"/>
      <c r="T71" s="30"/>
      <c r="U71" s="30"/>
      <c r="V71" s="30"/>
      <c r="W71" s="30"/>
      <c r="X71" s="30"/>
      <c r="Y71" s="30"/>
      <c r="Z71" s="30"/>
      <c r="AA71" s="30"/>
      <c r="AB71" s="30"/>
      <c r="AC71" s="30"/>
      <c r="AD71" s="30"/>
      <c r="AE71" s="30"/>
    </row>
    <row r="75" spans="1:31" s="2" customFormat="1" ht="6.95" customHeight="1">
      <c r="A75" s="30"/>
      <c r="B75" s="42"/>
      <c r="C75" s="43"/>
      <c r="D75" s="43"/>
      <c r="E75" s="43"/>
      <c r="F75" s="43"/>
      <c r="G75" s="43"/>
      <c r="H75" s="43"/>
      <c r="I75" s="43"/>
      <c r="J75" s="43"/>
      <c r="K75" s="43"/>
      <c r="L75" s="88"/>
      <c r="S75" s="30"/>
      <c r="T75" s="30"/>
      <c r="U75" s="30"/>
      <c r="V75" s="30"/>
      <c r="W75" s="30"/>
      <c r="X75" s="30"/>
      <c r="Y75" s="30"/>
      <c r="Z75" s="30"/>
      <c r="AA75" s="30"/>
      <c r="AB75" s="30"/>
      <c r="AC75" s="30"/>
      <c r="AD75" s="30"/>
      <c r="AE75" s="30"/>
    </row>
    <row r="76" spans="1:31" s="2" customFormat="1" ht="24.95" customHeight="1">
      <c r="A76" s="30"/>
      <c r="B76" s="31"/>
      <c r="C76" s="22" t="s">
        <v>118</v>
      </c>
      <c r="D76" s="30"/>
      <c r="E76" s="30"/>
      <c r="F76" s="30"/>
      <c r="G76" s="30"/>
      <c r="H76" s="30"/>
      <c r="I76" s="30"/>
      <c r="J76" s="30"/>
      <c r="K76" s="30"/>
      <c r="L76" s="88"/>
      <c r="S76" s="30"/>
      <c r="T76" s="30"/>
      <c r="U76" s="30"/>
      <c r="V76" s="30"/>
      <c r="W76" s="30"/>
      <c r="X76" s="30"/>
      <c r="Y76" s="30"/>
      <c r="Z76" s="30"/>
      <c r="AA76" s="30"/>
      <c r="AB76" s="30"/>
      <c r="AC76" s="30"/>
      <c r="AD76" s="30"/>
      <c r="AE76" s="30"/>
    </row>
    <row r="77" spans="1:31" s="2" customFormat="1" ht="6.95" customHeight="1">
      <c r="A77" s="30"/>
      <c r="B77" s="31"/>
      <c r="C77" s="30"/>
      <c r="D77" s="30"/>
      <c r="E77" s="30"/>
      <c r="F77" s="30"/>
      <c r="G77" s="30"/>
      <c r="H77" s="30"/>
      <c r="I77" s="30"/>
      <c r="J77" s="30"/>
      <c r="K77" s="30"/>
      <c r="L77" s="88"/>
      <c r="S77" s="30"/>
      <c r="T77" s="30"/>
      <c r="U77" s="30"/>
      <c r="V77" s="30"/>
      <c r="W77" s="30"/>
      <c r="X77" s="30"/>
      <c r="Y77" s="30"/>
      <c r="Z77" s="30"/>
      <c r="AA77" s="30"/>
      <c r="AB77" s="30"/>
      <c r="AC77" s="30"/>
      <c r="AD77" s="30"/>
      <c r="AE77" s="30"/>
    </row>
    <row r="78" spans="1:31" s="2" customFormat="1" ht="12" customHeight="1">
      <c r="A78" s="30"/>
      <c r="B78" s="31"/>
      <c r="C78" s="27" t="s">
        <v>14</v>
      </c>
      <c r="D78" s="30"/>
      <c r="E78" s="30"/>
      <c r="F78" s="30"/>
      <c r="G78" s="30"/>
      <c r="H78" s="30"/>
      <c r="I78" s="30"/>
      <c r="J78" s="30"/>
      <c r="K78" s="30"/>
      <c r="L78" s="88"/>
      <c r="S78" s="30"/>
      <c r="T78" s="30"/>
      <c r="U78" s="30"/>
      <c r="V78" s="30"/>
      <c r="W78" s="30"/>
      <c r="X78" s="30"/>
      <c r="Y78" s="30"/>
      <c r="Z78" s="30"/>
      <c r="AA78" s="30"/>
      <c r="AB78" s="30"/>
      <c r="AC78" s="30"/>
      <c r="AD78" s="30"/>
      <c r="AE78" s="30"/>
    </row>
    <row r="79" spans="1:31" s="2" customFormat="1" ht="23.25" customHeight="1">
      <c r="A79" s="30"/>
      <c r="B79" s="31"/>
      <c r="C79" s="30"/>
      <c r="D79" s="30"/>
      <c r="E79" s="352" t="str">
        <f>E7</f>
        <v>Modernizace prostor ambulancí chirurgického oddělení v suterénu budovy A - Nemocnice Nymburk, s.r.o.</v>
      </c>
      <c r="F79" s="353"/>
      <c r="G79" s="353"/>
      <c r="H79" s="353"/>
      <c r="I79" s="30"/>
      <c r="J79" s="30"/>
      <c r="K79" s="30"/>
      <c r="L79" s="88"/>
      <c r="S79" s="30"/>
      <c r="T79" s="30"/>
      <c r="U79" s="30"/>
      <c r="V79" s="30"/>
      <c r="W79" s="30"/>
      <c r="X79" s="30"/>
      <c r="Y79" s="30"/>
      <c r="Z79" s="30"/>
      <c r="AA79" s="30"/>
      <c r="AB79" s="30"/>
      <c r="AC79" s="30"/>
      <c r="AD79" s="30"/>
      <c r="AE79" s="30"/>
    </row>
    <row r="80" spans="1:31" s="2" customFormat="1" ht="12" customHeight="1">
      <c r="A80" s="30"/>
      <c r="B80" s="31"/>
      <c r="C80" s="27" t="s">
        <v>99</v>
      </c>
      <c r="D80" s="30"/>
      <c r="E80" s="30"/>
      <c r="F80" s="30"/>
      <c r="G80" s="30"/>
      <c r="H80" s="30"/>
      <c r="I80" s="30"/>
      <c r="J80" s="30"/>
      <c r="K80" s="30"/>
      <c r="L80" s="88"/>
      <c r="S80" s="30"/>
      <c r="T80" s="30"/>
      <c r="U80" s="30"/>
      <c r="V80" s="30"/>
      <c r="W80" s="30"/>
      <c r="X80" s="30"/>
      <c r="Y80" s="30"/>
      <c r="Z80" s="30"/>
      <c r="AA80" s="30"/>
      <c r="AB80" s="30"/>
      <c r="AC80" s="30"/>
      <c r="AD80" s="30"/>
      <c r="AE80" s="30"/>
    </row>
    <row r="81" spans="1:31" s="2" customFormat="1" ht="16.5" customHeight="1">
      <c r="A81" s="30"/>
      <c r="B81" s="31"/>
      <c r="C81" s="30"/>
      <c r="D81" s="30"/>
      <c r="E81" s="342" t="str">
        <f>E9</f>
        <v>04 - Elektroinstalace</v>
      </c>
      <c r="F81" s="351"/>
      <c r="G81" s="351"/>
      <c r="H81" s="351"/>
      <c r="I81" s="30"/>
      <c r="J81" s="30"/>
      <c r="K81" s="30"/>
      <c r="L81" s="88"/>
      <c r="S81" s="30"/>
      <c r="T81" s="30"/>
      <c r="U81" s="30"/>
      <c r="V81" s="30"/>
      <c r="W81" s="30"/>
      <c r="X81" s="30"/>
      <c r="Y81" s="30"/>
      <c r="Z81" s="30"/>
      <c r="AA81" s="30"/>
      <c r="AB81" s="30"/>
      <c r="AC81" s="30"/>
      <c r="AD81" s="30"/>
      <c r="AE81" s="30"/>
    </row>
    <row r="82" spans="1:31" s="2" customFormat="1" ht="6.95" customHeight="1">
      <c r="A82" s="30"/>
      <c r="B82" s="31"/>
      <c r="C82" s="30"/>
      <c r="D82" s="30"/>
      <c r="E82" s="30"/>
      <c r="F82" s="30"/>
      <c r="G82" s="30"/>
      <c r="H82" s="30"/>
      <c r="I82" s="30"/>
      <c r="J82" s="30"/>
      <c r="K82" s="30"/>
      <c r="L82" s="88"/>
      <c r="S82" s="30"/>
      <c r="T82" s="30"/>
      <c r="U82" s="30"/>
      <c r="V82" s="30"/>
      <c r="W82" s="30"/>
      <c r="X82" s="30"/>
      <c r="Y82" s="30"/>
      <c r="Z82" s="30"/>
      <c r="AA82" s="30"/>
      <c r="AB82" s="30"/>
      <c r="AC82" s="30"/>
      <c r="AD82" s="30"/>
      <c r="AE82" s="30"/>
    </row>
    <row r="83" spans="1:31" s="2" customFormat="1" ht="12" customHeight="1">
      <c r="A83" s="30"/>
      <c r="B83" s="31"/>
      <c r="C83" s="27" t="s">
        <v>19</v>
      </c>
      <c r="D83" s="30"/>
      <c r="E83" s="30"/>
      <c r="F83" s="25" t="str">
        <f>F12</f>
        <v>Nymburk</v>
      </c>
      <c r="G83" s="30"/>
      <c r="H83" s="30"/>
      <c r="I83" s="27" t="s">
        <v>21</v>
      </c>
      <c r="J83" s="48">
        <f>IF(J12="","",J12)</f>
        <v>44152</v>
      </c>
      <c r="K83" s="30"/>
      <c r="L83" s="88"/>
      <c r="S83" s="30"/>
      <c r="T83" s="30"/>
      <c r="U83" s="30"/>
      <c r="V83" s="30"/>
      <c r="W83" s="30"/>
      <c r="X83" s="30"/>
      <c r="Y83" s="30"/>
      <c r="Z83" s="30"/>
      <c r="AA83" s="30"/>
      <c r="AB83" s="30"/>
      <c r="AC83" s="30"/>
      <c r="AD83" s="30"/>
      <c r="AE83" s="30"/>
    </row>
    <row r="84" spans="1:31" s="2" customFormat="1" ht="6.95" customHeight="1">
      <c r="A84" s="30"/>
      <c r="B84" s="31"/>
      <c r="C84" s="30"/>
      <c r="D84" s="30"/>
      <c r="E84" s="30"/>
      <c r="F84" s="30"/>
      <c r="G84" s="30"/>
      <c r="H84" s="30"/>
      <c r="I84" s="30"/>
      <c r="J84" s="30"/>
      <c r="K84" s="30"/>
      <c r="L84" s="88"/>
      <c r="S84" s="30"/>
      <c r="T84" s="30"/>
      <c r="U84" s="30"/>
      <c r="V84" s="30"/>
      <c r="W84" s="30"/>
      <c r="X84" s="30"/>
      <c r="Y84" s="30"/>
      <c r="Z84" s="30"/>
      <c r="AA84" s="30"/>
      <c r="AB84" s="30"/>
      <c r="AC84" s="30"/>
      <c r="AD84" s="30"/>
      <c r="AE84" s="30"/>
    </row>
    <row r="85" spans="1:31" s="2" customFormat="1" ht="25.7" customHeight="1">
      <c r="A85" s="30"/>
      <c r="B85" s="31"/>
      <c r="C85" s="27" t="s">
        <v>22</v>
      </c>
      <c r="D85" s="30"/>
      <c r="E85" s="30"/>
      <c r="F85" s="25" t="str">
        <f>E15</f>
        <v>Nemocnice Nymburk s.r.o.</v>
      </c>
      <c r="G85" s="30"/>
      <c r="H85" s="30"/>
      <c r="I85" s="27" t="s">
        <v>30</v>
      </c>
      <c r="J85" s="28" t="str">
        <f>E21</f>
        <v>Ing. arch. Pavel Petrák</v>
      </c>
      <c r="K85" s="30"/>
      <c r="L85" s="88"/>
      <c r="S85" s="30"/>
      <c r="T85" s="30"/>
      <c r="U85" s="30"/>
      <c r="V85" s="30"/>
      <c r="W85" s="30"/>
      <c r="X85" s="30"/>
      <c r="Y85" s="30"/>
      <c r="Z85" s="30"/>
      <c r="AA85" s="30"/>
      <c r="AB85" s="30"/>
      <c r="AC85" s="30"/>
      <c r="AD85" s="30"/>
      <c r="AE85" s="30"/>
    </row>
    <row r="86" spans="1:31" s="2" customFormat="1" ht="15.2" customHeight="1">
      <c r="A86" s="30"/>
      <c r="B86" s="31"/>
      <c r="C86" s="27" t="s">
        <v>28</v>
      </c>
      <c r="D86" s="30"/>
      <c r="E86" s="30"/>
      <c r="F86" s="25" t="str">
        <f>IF(E18="","",E18)</f>
        <v xml:space="preserve"> </v>
      </c>
      <c r="G86" s="30"/>
      <c r="H86" s="30"/>
      <c r="I86" s="27" t="s">
        <v>35</v>
      </c>
      <c r="J86" s="28" t="str">
        <f>E24</f>
        <v xml:space="preserve"> </v>
      </c>
      <c r="K86" s="30"/>
      <c r="L86" s="88"/>
      <c r="S86" s="30"/>
      <c r="T86" s="30"/>
      <c r="U86" s="30"/>
      <c r="V86" s="30"/>
      <c r="W86" s="30"/>
      <c r="X86" s="30"/>
      <c r="Y86" s="30"/>
      <c r="Z86" s="30"/>
      <c r="AA86" s="30"/>
      <c r="AB86" s="30"/>
      <c r="AC86" s="30"/>
      <c r="AD86" s="30"/>
      <c r="AE86" s="30"/>
    </row>
    <row r="87" spans="1:31" s="2" customFormat="1" ht="10.35" customHeight="1">
      <c r="A87" s="30"/>
      <c r="B87" s="31"/>
      <c r="C87" s="30"/>
      <c r="D87" s="30"/>
      <c r="E87" s="30"/>
      <c r="F87" s="30"/>
      <c r="G87" s="30"/>
      <c r="H87" s="30"/>
      <c r="I87" s="30"/>
      <c r="J87" s="30"/>
      <c r="K87" s="30"/>
      <c r="L87" s="88"/>
      <c r="S87" s="30"/>
      <c r="T87" s="30"/>
      <c r="U87" s="30"/>
      <c r="V87" s="30"/>
      <c r="W87" s="30"/>
      <c r="X87" s="30"/>
      <c r="Y87" s="30"/>
      <c r="Z87" s="30"/>
      <c r="AA87" s="30"/>
      <c r="AB87" s="30"/>
      <c r="AC87" s="30"/>
      <c r="AD87" s="30"/>
      <c r="AE87" s="30"/>
    </row>
    <row r="88" spans="1:31" s="11" customFormat="1" ht="29.25" customHeight="1">
      <c r="A88" s="113"/>
      <c r="B88" s="114"/>
      <c r="C88" s="115" t="s">
        <v>119</v>
      </c>
      <c r="D88" s="116" t="s">
        <v>57</v>
      </c>
      <c r="E88" s="116" t="s">
        <v>53</v>
      </c>
      <c r="F88" s="116" t="s">
        <v>54</v>
      </c>
      <c r="G88" s="116" t="s">
        <v>120</v>
      </c>
      <c r="H88" s="116" t="s">
        <v>121</v>
      </c>
      <c r="I88" s="116" t="s">
        <v>122</v>
      </c>
      <c r="J88" s="116" t="s">
        <v>103</v>
      </c>
      <c r="K88" s="117" t="s">
        <v>123</v>
      </c>
      <c r="L88" s="118"/>
      <c r="M88" s="55" t="s">
        <v>3</v>
      </c>
      <c r="N88" s="56" t="s">
        <v>42</v>
      </c>
      <c r="O88" s="56" t="s">
        <v>124</v>
      </c>
      <c r="P88" s="56" t="s">
        <v>125</v>
      </c>
      <c r="Q88" s="56" t="s">
        <v>126</v>
      </c>
      <c r="R88" s="56" t="s">
        <v>127</v>
      </c>
      <c r="S88" s="56" t="s">
        <v>128</v>
      </c>
      <c r="T88" s="57" t="s">
        <v>129</v>
      </c>
      <c r="U88" s="113"/>
      <c r="V88" s="113"/>
      <c r="W88" s="113"/>
      <c r="X88" s="113"/>
      <c r="Y88" s="113"/>
      <c r="Z88" s="113"/>
      <c r="AA88" s="113"/>
      <c r="AB88" s="113"/>
      <c r="AC88" s="113"/>
      <c r="AD88" s="113"/>
      <c r="AE88" s="113"/>
    </row>
    <row r="89" spans="1:63" s="2" customFormat="1" ht="22.9" customHeight="1">
      <c r="A89" s="30"/>
      <c r="B89" s="31"/>
      <c r="C89" s="62" t="s">
        <v>130</v>
      </c>
      <c r="D89" s="30"/>
      <c r="E89" s="30"/>
      <c r="F89" s="30"/>
      <c r="G89" s="30"/>
      <c r="H89" s="30"/>
      <c r="I89" s="30"/>
      <c r="J89" s="119">
        <f>BK89</f>
        <v>0</v>
      </c>
      <c r="K89" s="30"/>
      <c r="L89" s="31"/>
      <c r="M89" s="58"/>
      <c r="N89" s="49"/>
      <c r="O89" s="59"/>
      <c r="P89" s="120">
        <f>P90+P127+P188</f>
        <v>163.152578566</v>
      </c>
      <c r="Q89" s="59"/>
      <c r="R89" s="120">
        <f>R90+R127+R188</f>
        <v>0.9409719999999999</v>
      </c>
      <c r="S89" s="59"/>
      <c r="T89" s="121">
        <f>T90+T127+T188</f>
        <v>1.617</v>
      </c>
      <c r="U89" s="30"/>
      <c r="V89" s="30"/>
      <c r="W89" s="30"/>
      <c r="X89" s="30"/>
      <c r="Y89" s="30"/>
      <c r="Z89" s="30"/>
      <c r="AA89" s="30"/>
      <c r="AB89" s="30"/>
      <c r="AC89" s="30"/>
      <c r="AD89" s="30"/>
      <c r="AE89" s="30"/>
      <c r="AT89" s="18" t="s">
        <v>71</v>
      </c>
      <c r="AU89" s="18" t="s">
        <v>104</v>
      </c>
      <c r="BK89" s="122">
        <f>BK90+BK127+BK188</f>
        <v>0</v>
      </c>
    </row>
    <row r="90" spans="2:63" s="12" customFormat="1" ht="25.9" customHeight="1">
      <c r="B90" s="123"/>
      <c r="D90" s="124" t="s">
        <v>71</v>
      </c>
      <c r="E90" s="125" t="s">
        <v>131</v>
      </c>
      <c r="F90" s="125" t="s">
        <v>132</v>
      </c>
      <c r="J90" s="126">
        <f>BK90</f>
        <v>0</v>
      </c>
      <c r="L90" s="123"/>
      <c r="M90" s="127"/>
      <c r="N90" s="128"/>
      <c r="O90" s="128"/>
      <c r="P90" s="129">
        <f>P91+P98+P103+P110+P124</f>
        <v>73.592578566</v>
      </c>
      <c r="Q90" s="128"/>
      <c r="R90" s="129">
        <f>R91+R98+R103+R110+R124</f>
        <v>0.8973</v>
      </c>
      <c r="S90" s="128"/>
      <c r="T90" s="130">
        <f>T91+T98+T103+T110+T124</f>
        <v>1.617</v>
      </c>
      <c r="AR90" s="124" t="s">
        <v>80</v>
      </c>
      <c r="AT90" s="131" t="s">
        <v>71</v>
      </c>
      <c r="AU90" s="131" t="s">
        <v>72</v>
      </c>
      <c r="AY90" s="124" t="s">
        <v>133</v>
      </c>
      <c r="BK90" s="132">
        <f>BK91+BK98+BK103+BK110+BK124</f>
        <v>0</v>
      </c>
    </row>
    <row r="91" spans="2:63" s="12" customFormat="1" ht="22.9" customHeight="1">
      <c r="B91" s="123"/>
      <c r="D91" s="124" t="s">
        <v>71</v>
      </c>
      <c r="E91" s="133" t="s">
        <v>134</v>
      </c>
      <c r="F91" s="133" t="s">
        <v>135</v>
      </c>
      <c r="J91" s="134">
        <f>BK91</f>
        <v>0</v>
      </c>
      <c r="L91" s="123"/>
      <c r="M91" s="127"/>
      <c r="N91" s="128"/>
      <c r="O91" s="128"/>
      <c r="P91" s="129">
        <f>SUM(P92:P97)</f>
        <v>3.066</v>
      </c>
      <c r="Q91" s="128"/>
      <c r="R91" s="129">
        <f>SUM(R92:R97)</f>
        <v>0.18929999999999997</v>
      </c>
      <c r="S91" s="128"/>
      <c r="T91" s="130">
        <f>SUM(T92:T97)</f>
        <v>0</v>
      </c>
      <c r="AR91" s="124" t="s">
        <v>80</v>
      </c>
      <c r="AT91" s="131" t="s">
        <v>71</v>
      </c>
      <c r="AU91" s="131" t="s">
        <v>80</v>
      </c>
      <c r="AY91" s="124" t="s">
        <v>133</v>
      </c>
      <c r="BK91" s="132">
        <f>SUM(BK92:BK97)</f>
        <v>0</v>
      </c>
    </row>
    <row r="92" spans="1:65" s="2" customFormat="1" ht="24.2" customHeight="1">
      <c r="A92" s="30"/>
      <c r="B92" s="135"/>
      <c r="C92" s="136" t="s">
        <v>80</v>
      </c>
      <c r="D92" s="136" t="s">
        <v>136</v>
      </c>
      <c r="E92" s="137" t="s">
        <v>380</v>
      </c>
      <c r="F92" s="138" t="s">
        <v>381</v>
      </c>
      <c r="G92" s="139" t="s">
        <v>140</v>
      </c>
      <c r="H92" s="140">
        <f>H94</f>
        <v>6</v>
      </c>
      <c r="I92" s="141"/>
      <c r="J92" s="141">
        <f>ROUND(I92*H92,2)</f>
        <v>0</v>
      </c>
      <c r="K92" s="138" t="s">
        <v>141</v>
      </c>
      <c r="L92" s="31"/>
      <c r="M92" s="142" t="s">
        <v>3</v>
      </c>
      <c r="N92" s="143" t="s">
        <v>43</v>
      </c>
      <c r="O92" s="144">
        <v>0.195</v>
      </c>
      <c r="P92" s="144">
        <f>O92*H92</f>
        <v>1.17</v>
      </c>
      <c r="Q92" s="144">
        <v>0.01262</v>
      </c>
      <c r="R92" s="144">
        <f>Q92*H92</f>
        <v>0.07572</v>
      </c>
      <c r="S92" s="144">
        <v>0</v>
      </c>
      <c r="T92" s="145">
        <f>S92*H92</f>
        <v>0</v>
      </c>
      <c r="U92" s="30"/>
      <c r="V92" s="30"/>
      <c r="W92" s="30"/>
      <c r="X92" s="30"/>
      <c r="Y92" s="30"/>
      <c r="Z92" s="30"/>
      <c r="AA92" s="30"/>
      <c r="AB92" s="30"/>
      <c r="AC92" s="30"/>
      <c r="AD92" s="30"/>
      <c r="AE92" s="30"/>
      <c r="AR92" s="146" t="s">
        <v>138</v>
      </c>
      <c r="AT92" s="146" t="s">
        <v>136</v>
      </c>
      <c r="AU92" s="146" t="s">
        <v>82</v>
      </c>
      <c r="AY92" s="18" t="s">
        <v>133</v>
      </c>
      <c r="BE92" s="147">
        <f>IF(N92="základní",J92,0)</f>
        <v>0</v>
      </c>
      <c r="BF92" s="147">
        <f>IF(N92="snížená",J92,0)</f>
        <v>0</v>
      </c>
      <c r="BG92" s="147">
        <f>IF(N92="zákl. přenesená",J92,0)</f>
        <v>0</v>
      </c>
      <c r="BH92" s="147">
        <f>IF(N92="sníž. přenesená",J92,0)</f>
        <v>0</v>
      </c>
      <c r="BI92" s="147">
        <f>IF(N92="nulová",J92,0)</f>
        <v>0</v>
      </c>
      <c r="BJ92" s="18" t="s">
        <v>80</v>
      </c>
      <c r="BK92" s="147">
        <f>ROUND(I92*H92,2)</f>
        <v>0</v>
      </c>
      <c r="BL92" s="18" t="s">
        <v>138</v>
      </c>
      <c r="BM92" s="146" t="s">
        <v>574</v>
      </c>
    </row>
    <row r="93" spans="2:51" s="13" customFormat="1" ht="12">
      <c r="B93" s="148"/>
      <c r="D93" s="149" t="s">
        <v>139</v>
      </c>
      <c r="E93" s="150" t="s">
        <v>3</v>
      </c>
      <c r="F93" s="151" t="s">
        <v>152</v>
      </c>
      <c r="H93" s="150" t="s">
        <v>3</v>
      </c>
      <c r="L93" s="148"/>
      <c r="M93" s="152"/>
      <c r="N93" s="153"/>
      <c r="O93" s="153"/>
      <c r="P93" s="153"/>
      <c r="Q93" s="153"/>
      <c r="R93" s="153"/>
      <c r="S93" s="153"/>
      <c r="T93" s="154"/>
      <c r="AT93" s="150" t="s">
        <v>139</v>
      </c>
      <c r="AU93" s="150" t="s">
        <v>82</v>
      </c>
      <c r="AV93" s="13" t="s">
        <v>80</v>
      </c>
      <c r="AW93" s="13" t="s">
        <v>34</v>
      </c>
      <c r="AX93" s="13" t="s">
        <v>72</v>
      </c>
      <c r="AY93" s="150" t="s">
        <v>133</v>
      </c>
    </row>
    <row r="94" spans="2:51" s="14" customFormat="1" ht="12">
      <c r="B94" s="155"/>
      <c r="D94" s="149" t="s">
        <v>139</v>
      </c>
      <c r="E94" s="156" t="s">
        <v>3</v>
      </c>
      <c r="F94" s="157">
        <v>6</v>
      </c>
      <c r="H94" s="158">
        <f>F94</f>
        <v>6</v>
      </c>
      <c r="L94" s="155"/>
      <c r="M94" s="159"/>
      <c r="N94" s="160"/>
      <c r="O94" s="160"/>
      <c r="P94" s="160"/>
      <c r="Q94" s="160"/>
      <c r="R94" s="160"/>
      <c r="S94" s="160"/>
      <c r="T94" s="161"/>
      <c r="AT94" s="156" t="s">
        <v>139</v>
      </c>
      <c r="AU94" s="156" t="s">
        <v>82</v>
      </c>
      <c r="AV94" s="14" t="s">
        <v>82</v>
      </c>
      <c r="AW94" s="14" t="s">
        <v>34</v>
      </c>
      <c r="AX94" s="14" t="s">
        <v>80</v>
      </c>
      <c r="AY94" s="156" t="s">
        <v>133</v>
      </c>
    </row>
    <row r="95" spans="1:65" s="2" customFormat="1" ht="37.9" customHeight="1">
      <c r="A95" s="30"/>
      <c r="B95" s="135"/>
      <c r="C95" s="136" t="s">
        <v>82</v>
      </c>
      <c r="D95" s="136" t="s">
        <v>136</v>
      </c>
      <c r="E95" s="137" t="s">
        <v>382</v>
      </c>
      <c r="F95" s="138" t="s">
        <v>383</v>
      </c>
      <c r="G95" s="139" t="s">
        <v>140</v>
      </c>
      <c r="H95" s="140">
        <f>H97</f>
        <v>6</v>
      </c>
      <c r="I95" s="141"/>
      <c r="J95" s="141">
        <f>ROUND(I95*H95,2)</f>
        <v>0</v>
      </c>
      <c r="K95" s="138" t="s">
        <v>141</v>
      </c>
      <c r="L95" s="31"/>
      <c r="M95" s="142" t="s">
        <v>3</v>
      </c>
      <c r="N95" s="143" t="s">
        <v>43</v>
      </c>
      <c r="O95" s="144">
        <v>0.316</v>
      </c>
      <c r="P95" s="144">
        <f>O95*H95</f>
        <v>1.896</v>
      </c>
      <c r="Q95" s="144">
        <v>0.01893</v>
      </c>
      <c r="R95" s="144">
        <f>Q95*H95</f>
        <v>0.11357999999999999</v>
      </c>
      <c r="S95" s="144">
        <v>0</v>
      </c>
      <c r="T95" s="145">
        <f>S95*H95</f>
        <v>0</v>
      </c>
      <c r="U95" s="30"/>
      <c r="V95" s="30"/>
      <c r="W95" s="30"/>
      <c r="X95" s="30"/>
      <c r="Y95" s="30"/>
      <c r="Z95" s="30"/>
      <c r="AA95" s="30"/>
      <c r="AB95" s="30"/>
      <c r="AC95" s="30"/>
      <c r="AD95" s="30"/>
      <c r="AE95" s="30"/>
      <c r="AR95" s="146" t="s">
        <v>138</v>
      </c>
      <c r="AT95" s="146" t="s">
        <v>136</v>
      </c>
      <c r="AU95" s="146" t="s">
        <v>82</v>
      </c>
      <c r="AY95" s="18" t="s">
        <v>133</v>
      </c>
      <c r="BE95" s="147">
        <f>IF(N95="základní",J95,0)</f>
        <v>0</v>
      </c>
      <c r="BF95" s="147">
        <f>IF(N95="snížená",J95,0)</f>
        <v>0</v>
      </c>
      <c r="BG95" s="147">
        <f>IF(N95="zákl. přenesená",J95,0)</f>
        <v>0</v>
      </c>
      <c r="BH95" s="147">
        <f>IF(N95="sníž. přenesená",J95,0)</f>
        <v>0</v>
      </c>
      <c r="BI95" s="147">
        <f>IF(N95="nulová",J95,0)</f>
        <v>0</v>
      </c>
      <c r="BJ95" s="18" t="s">
        <v>80</v>
      </c>
      <c r="BK95" s="147">
        <f>ROUND(I95*H95,2)</f>
        <v>0</v>
      </c>
      <c r="BL95" s="18" t="s">
        <v>138</v>
      </c>
      <c r="BM95" s="146" t="s">
        <v>575</v>
      </c>
    </row>
    <row r="96" spans="2:51" s="13" customFormat="1" ht="12">
      <c r="B96" s="148"/>
      <c r="D96" s="149" t="s">
        <v>139</v>
      </c>
      <c r="E96" s="150" t="s">
        <v>3</v>
      </c>
      <c r="F96" s="151" t="s">
        <v>152</v>
      </c>
      <c r="H96" s="150" t="s">
        <v>3</v>
      </c>
      <c r="L96" s="148"/>
      <c r="M96" s="152"/>
      <c r="N96" s="153"/>
      <c r="O96" s="153"/>
      <c r="P96" s="153"/>
      <c r="Q96" s="153"/>
      <c r="R96" s="153"/>
      <c r="S96" s="153"/>
      <c r="T96" s="154"/>
      <c r="AT96" s="150" t="s">
        <v>139</v>
      </c>
      <c r="AU96" s="150" t="s">
        <v>82</v>
      </c>
      <c r="AV96" s="13" t="s">
        <v>80</v>
      </c>
      <c r="AW96" s="13" t="s">
        <v>34</v>
      </c>
      <c r="AX96" s="13" t="s">
        <v>72</v>
      </c>
      <c r="AY96" s="150" t="s">
        <v>133</v>
      </c>
    </row>
    <row r="97" spans="2:51" s="14" customFormat="1" ht="12">
      <c r="B97" s="155"/>
      <c r="D97" s="149" t="s">
        <v>139</v>
      </c>
      <c r="E97" s="156" t="s">
        <v>3</v>
      </c>
      <c r="F97" s="157">
        <f>F94</f>
        <v>6</v>
      </c>
      <c r="H97" s="158">
        <f>F94</f>
        <v>6</v>
      </c>
      <c r="L97" s="155"/>
      <c r="M97" s="159"/>
      <c r="N97" s="160"/>
      <c r="O97" s="160"/>
      <c r="P97" s="160"/>
      <c r="Q97" s="160"/>
      <c r="R97" s="160"/>
      <c r="S97" s="160"/>
      <c r="T97" s="161"/>
      <c r="AT97" s="156" t="s">
        <v>139</v>
      </c>
      <c r="AU97" s="156" t="s">
        <v>82</v>
      </c>
      <c r="AV97" s="14" t="s">
        <v>82</v>
      </c>
      <c r="AW97" s="14" t="s">
        <v>34</v>
      </c>
      <c r="AX97" s="14" t="s">
        <v>80</v>
      </c>
      <c r="AY97" s="156" t="s">
        <v>133</v>
      </c>
    </row>
    <row r="98" spans="2:63" s="12" customFormat="1" ht="22.9" customHeight="1">
      <c r="B98" s="123"/>
      <c r="D98" s="124" t="s">
        <v>71</v>
      </c>
      <c r="E98" s="133" t="s">
        <v>148</v>
      </c>
      <c r="F98" s="133" t="s">
        <v>153</v>
      </c>
      <c r="J98" s="134">
        <f>BK98</f>
        <v>0</v>
      </c>
      <c r="L98" s="123"/>
      <c r="M98" s="127"/>
      <c r="N98" s="128"/>
      <c r="O98" s="128"/>
      <c r="P98" s="129">
        <f>SUM(P99:P102)</f>
        <v>11.0448</v>
      </c>
      <c r="Q98" s="128"/>
      <c r="R98" s="129">
        <f>SUM(R99:R102)</f>
        <v>0.708</v>
      </c>
      <c r="S98" s="128"/>
      <c r="T98" s="130">
        <f>SUM(T99:T102)</f>
        <v>0</v>
      </c>
      <c r="AR98" s="124" t="s">
        <v>80</v>
      </c>
      <c r="AT98" s="131" t="s">
        <v>71</v>
      </c>
      <c r="AU98" s="131" t="s">
        <v>80</v>
      </c>
      <c r="AY98" s="124" t="s">
        <v>133</v>
      </c>
      <c r="BK98" s="132">
        <f>SUM(BK99:BK102)</f>
        <v>0</v>
      </c>
    </row>
    <row r="99" spans="1:65" s="2" customFormat="1" ht="14.45" customHeight="1">
      <c r="A99" s="30"/>
      <c r="B99" s="135"/>
      <c r="C99" s="136" t="s">
        <v>134</v>
      </c>
      <c r="D99" s="136" t="s">
        <v>136</v>
      </c>
      <c r="E99" s="137" t="s">
        <v>384</v>
      </c>
      <c r="F99" s="278" t="s">
        <v>385</v>
      </c>
      <c r="G99" s="139" t="s">
        <v>149</v>
      </c>
      <c r="H99" s="140">
        <f>H102</f>
        <v>17.7</v>
      </c>
      <c r="I99" s="141"/>
      <c r="J99" s="141">
        <f>ROUND(I99*H99,2)</f>
        <v>0</v>
      </c>
      <c r="K99" s="138" t="s">
        <v>141</v>
      </c>
      <c r="L99" s="31"/>
      <c r="M99" s="142" t="s">
        <v>3</v>
      </c>
      <c r="N99" s="143" t="s">
        <v>43</v>
      </c>
      <c r="O99" s="144">
        <v>0.624</v>
      </c>
      <c r="P99" s="144">
        <f>O99*H99</f>
        <v>11.0448</v>
      </c>
      <c r="Q99" s="144">
        <v>0.04</v>
      </c>
      <c r="R99" s="144">
        <f>Q99*H99</f>
        <v>0.708</v>
      </c>
      <c r="S99" s="144">
        <v>0</v>
      </c>
      <c r="T99" s="145">
        <f>S99*H99</f>
        <v>0</v>
      </c>
      <c r="U99" s="30"/>
      <c r="V99" s="30"/>
      <c r="W99" s="30"/>
      <c r="X99" s="30"/>
      <c r="Y99" s="30"/>
      <c r="Z99" s="30"/>
      <c r="AA99" s="30"/>
      <c r="AB99" s="30"/>
      <c r="AC99" s="30"/>
      <c r="AD99" s="30"/>
      <c r="AE99" s="30"/>
      <c r="AR99" s="146" t="s">
        <v>138</v>
      </c>
      <c r="AT99" s="146" t="s">
        <v>136</v>
      </c>
      <c r="AU99" s="146" t="s">
        <v>82</v>
      </c>
      <c r="AY99" s="18" t="s">
        <v>133</v>
      </c>
      <c r="BE99" s="147">
        <f>IF(N99="základní",J99,0)</f>
        <v>0</v>
      </c>
      <c r="BF99" s="147">
        <f>IF(N99="snížená",J99,0)</f>
        <v>0</v>
      </c>
      <c r="BG99" s="147">
        <f>IF(N99="zákl. přenesená",J99,0)</f>
        <v>0</v>
      </c>
      <c r="BH99" s="147">
        <f>IF(N99="sníž. přenesená",J99,0)</f>
        <v>0</v>
      </c>
      <c r="BI99" s="147">
        <f>IF(N99="nulová",J99,0)</f>
        <v>0</v>
      </c>
      <c r="BJ99" s="18" t="s">
        <v>80</v>
      </c>
      <c r="BK99" s="147">
        <f>ROUND(I99*H99,2)</f>
        <v>0</v>
      </c>
      <c r="BL99" s="18" t="s">
        <v>138</v>
      </c>
      <c r="BM99" s="146" t="s">
        <v>576</v>
      </c>
    </row>
    <row r="100" spans="1:47" s="2" customFormat="1" ht="39">
      <c r="A100" s="30"/>
      <c r="B100" s="31"/>
      <c r="C100" s="30"/>
      <c r="D100" s="149" t="s">
        <v>142</v>
      </c>
      <c r="E100" s="30"/>
      <c r="F100" s="162" t="s">
        <v>387</v>
      </c>
      <c r="G100" s="30"/>
      <c r="H100" s="30"/>
      <c r="I100" s="30"/>
      <c r="J100" s="30"/>
      <c r="K100" s="30"/>
      <c r="L100" s="31"/>
      <c r="M100" s="163"/>
      <c r="N100" s="164"/>
      <c r="O100" s="51"/>
      <c r="P100" s="51"/>
      <c r="Q100" s="51"/>
      <c r="R100" s="51"/>
      <c r="S100" s="51"/>
      <c r="T100" s="52"/>
      <c r="U100" s="30"/>
      <c r="V100" s="30"/>
      <c r="W100" s="30"/>
      <c r="X100" s="30"/>
      <c r="Y100" s="30"/>
      <c r="Z100" s="30"/>
      <c r="AA100" s="30"/>
      <c r="AB100" s="30"/>
      <c r="AC100" s="30"/>
      <c r="AD100" s="30"/>
      <c r="AE100" s="30"/>
      <c r="AT100" s="18" t="s">
        <v>142</v>
      </c>
      <c r="AU100" s="18" t="s">
        <v>82</v>
      </c>
    </row>
    <row r="101" spans="2:51" s="13" customFormat="1" ht="12">
      <c r="B101" s="148"/>
      <c r="D101" s="149" t="s">
        <v>139</v>
      </c>
      <c r="E101" s="150" t="s">
        <v>3</v>
      </c>
      <c r="F101" s="151" t="s">
        <v>913</v>
      </c>
      <c r="H101" s="150" t="s">
        <v>3</v>
      </c>
      <c r="L101" s="148"/>
      <c r="M101" s="152"/>
      <c r="N101" s="153"/>
      <c r="O101" s="153"/>
      <c r="P101" s="153"/>
      <c r="Q101" s="153"/>
      <c r="R101" s="153"/>
      <c r="S101" s="153"/>
      <c r="T101" s="154"/>
      <c r="AT101" s="150" t="s">
        <v>139</v>
      </c>
      <c r="AU101" s="150" t="s">
        <v>82</v>
      </c>
      <c r="AV101" s="13" t="s">
        <v>80</v>
      </c>
      <c r="AW101" s="13" t="s">
        <v>34</v>
      </c>
      <c r="AX101" s="13" t="s">
        <v>72</v>
      </c>
      <c r="AY101" s="150" t="s">
        <v>133</v>
      </c>
    </row>
    <row r="102" spans="2:51" s="14" customFormat="1" ht="12">
      <c r="B102" s="155"/>
      <c r="D102" s="149" t="s">
        <v>139</v>
      </c>
      <c r="E102" s="156" t="s">
        <v>3</v>
      </c>
      <c r="F102" s="157" t="s">
        <v>951</v>
      </c>
      <c r="H102" s="158">
        <f>H109*0.1</f>
        <v>17.7</v>
      </c>
      <c r="L102" s="155"/>
      <c r="M102" s="159"/>
      <c r="N102" s="160"/>
      <c r="O102" s="160"/>
      <c r="P102" s="160"/>
      <c r="Q102" s="160"/>
      <c r="R102" s="160"/>
      <c r="S102" s="160"/>
      <c r="T102" s="161"/>
      <c r="AT102" s="156" t="s">
        <v>139</v>
      </c>
      <c r="AU102" s="156" t="s">
        <v>82</v>
      </c>
      <c r="AV102" s="14" t="s">
        <v>82</v>
      </c>
      <c r="AW102" s="14" t="s">
        <v>34</v>
      </c>
      <c r="AX102" s="14" t="s">
        <v>80</v>
      </c>
      <c r="AY102" s="156" t="s">
        <v>133</v>
      </c>
    </row>
    <row r="103" spans="2:63" s="12" customFormat="1" ht="22.9" customHeight="1">
      <c r="B103" s="123"/>
      <c r="D103" s="124" t="s">
        <v>71</v>
      </c>
      <c r="E103" s="133" t="s">
        <v>150</v>
      </c>
      <c r="F103" s="133" t="s">
        <v>174</v>
      </c>
      <c r="J103" s="134">
        <f>BK103</f>
        <v>0</v>
      </c>
      <c r="L103" s="123"/>
      <c r="M103" s="127"/>
      <c r="N103" s="128"/>
      <c r="O103" s="128"/>
      <c r="P103" s="129">
        <f>SUM(P104:P109)</f>
        <v>51.477000000000004</v>
      </c>
      <c r="Q103" s="128"/>
      <c r="R103" s="129">
        <f>SUM(R104:R109)</f>
        <v>0</v>
      </c>
      <c r="S103" s="128"/>
      <c r="T103" s="130">
        <f>SUM(T104:T109)</f>
        <v>1.617</v>
      </c>
      <c r="AR103" s="124" t="s">
        <v>80</v>
      </c>
      <c r="AT103" s="131" t="s">
        <v>71</v>
      </c>
      <c r="AU103" s="131" t="s">
        <v>80</v>
      </c>
      <c r="AY103" s="124" t="s">
        <v>133</v>
      </c>
      <c r="BK103" s="132">
        <f>SUM(BK104:BK109)</f>
        <v>0</v>
      </c>
    </row>
    <row r="104" spans="1:65" s="2" customFormat="1" ht="49.15" customHeight="1">
      <c r="A104" s="30"/>
      <c r="B104" s="135"/>
      <c r="C104" s="136">
        <v>4</v>
      </c>
      <c r="D104" s="136" t="s">
        <v>136</v>
      </c>
      <c r="E104" s="137" t="s">
        <v>577</v>
      </c>
      <c r="F104" s="138" t="s">
        <v>578</v>
      </c>
      <c r="G104" s="139" t="s">
        <v>140</v>
      </c>
      <c r="H104" s="140">
        <f>H106</f>
        <v>12</v>
      </c>
      <c r="I104" s="141"/>
      <c r="J104" s="141">
        <f>ROUND(I104*H104,2)</f>
        <v>0</v>
      </c>
      <c r="K104" s="138" t="s">
        <v>141</v>
      </c>
      <c r="L104" s="31"/>
      <c r="M104" s="142" t="s">
        <v>3</v>
      </c>
      <c r="N104" s="143" t="s">
        <v>43</v>
      </c>
      <c r="O104" s="144">
        <v>0.381</v>
      </c>
      <c r="P104" s="144">
        <f>O104*H104</f>
        <v>4.572</v>
      </c>
      <c r="Q104" s="144">
        <v>0</v>
      </c>
      <c r="R104" s="144">
        <f>Q104*H104</f>
        <v>0</v>
      </c>
      <c r="S104" s="144">
        <v>0.002</v>
      </c>
      <c r="T104" s="145">
        <f>S104*H104</f>
        <v>0.024</v>
      </c>
      <c r="U104" s="30"/>
      <c r="V104" s="30"/>
      <c r="W104" s="30"/>
      <c r="X104" s="30"/>
      <c r="Y104" s="30"/>
      <c r="Z104" s="30"/>
      <c r="AA104" s="30"/>
      <c r="AB104" s="30"/>
      <c r="AC104" s="30"/>
      <c r="AD104" s="30"/>
      <c r="AE104" s="30"/>
      <c r="AR104" s="146" t="s">
        <v>138</v>
      </c>
      <c r="AT104" s="146" t="s">
        <v>136</v>
      </c>
      <c r="AU104" s="146" t="s">
        <v>82</v>
      </c>
      <c r="AY104" s="18" t="s">
        <v>133</v>
      </c>
      <c r="BE104" s="147">
        <f>IF(N104="základní",J104,0)</f>
        <v>0</v>
      </c>
      <c r="BF104" s="147">
        <f>IF(N104="snížená",J104,0)</f>
        <v>0</v>
      </c>
      <c r="BG104" s="147">
        <f>IF(N104="zákl. přenesená",J104,0)</f>
        <v>0</v>
      </c>
      <c r="BH104" s="147">
        <f>IF(N104="sníž. přenesená",J104,0)</f>
        <v>0</v>
      </c>
      <c r="BI104" s="147">
        <f>IF(N104="nulová",J104,0)</f>
        <v>0</v>
      </c>
      <c r="BJ104" s="18" t="s">
        <v>80</v>
      </c>
      <c r="BK104" s="147">
        <f>ROUND(I104*H104,2)</f>
        <v>0</v>
      </c>
      <c r="BL104" s="18" t="s">
        <v>138</v>
      </c>
      <c r="BM104" s="146" t="s">
        <v>579</v>
      </c>
    </row>
    <row r="105" spans="2:51" s="13" customFormat="1" ht="12">
      <c r="B105" s="148"/>
      <c r="D105" s="149" t="s">
        <v>139</v>
      </c>
      <c r="E105" s="150" t="s">
        <v>3</v>
      </c>
      <c r="F105" s="151" t="s">
        <v>913</v>
      </c>
      <c r="H105" s="150" t="s">
        <v>3</v>
      </c>
      <c r="L105" s="148"/>
      <c r="M105" s="152"/>
      <c r="N105" s="153"/>
      <c r="O105" s="153"/>
      <c r="P105" s="153"/>
      <c r="Q105" s="153"/>
      <c r="R105" s="153"/>
      <c r="S105" s="153"/>
      <c r="T105" s="154"/>
      <c r="AT105" s="150" t="s">
        <v>139</v>
      </c>
      <c r="AU105" s="150" t="s">
        <v>82</v>
      </c>
      <c r="AV105" s="13" t="s">
        <v>80</v>
      </c>
      <c r="AW105" s="13" t="s">
        <v>34</v>
      </c>
      <c r="AX105" s="13" t="s">
        <v>72</v>
      </c>
      <c r="AY105" s="150" t="s">
        <v>133</v>
      </c>
    </row>
    <row r="106" spans="2:51" s="14" customFormat="1" ht="12">
      <c r="B106" s="155"/>
      <c r="D106" s="149" t="s">
        <v>139</v>
      </c>
      <c r="E106" s="156" t="s">
        <v>3</v>
      </c>
      <c r="F106" s="157">
        <v>12</v>
      </c>
      <c r="H106" s="158">
        <f>F106</f>
        <v>12</v>
      </c>
      <c r="L106" s="155"/>
      <c r="M106" s="159"/>
      <c r="N106" s="160"/>
      <c r="O106" s="160"/>
      <c r="P106" s="160"/>
      <c r="Q106" s="160"/>
      <c r="R106" s="160"/>
      <c r="S106" s="160"/>
      <c r="T106" s="161"/>
      <c r="AT106" s="156" t="s">
        <v>139</v>
      </c>
      <c r="AU106" s="156" t="s">
        <v>82</v>
      </c>
      <c r="AV106" s="14" t="s">
        <v>82</v>
      </c>
      <c r="AW106" s="14" t="s">
        <v>34</v>
      </c>
      <c r="AX106" s="14" t="s">
        <v>80</v>
      </c>
      <c r="AY106" s="156" t="s">
        <v>133</v>
      </c>
    </row>
    <row r="107" spans="1:65" s="2" customFormat="1" ht="37.9" customHeight="1">
      <c r="A107" s="30"/>
      <c r="B107" s="135"/>
      <c r="C107" s="136">
        <v>5</v>
      </c>
      <c r="D107" s="136" t="s">
        <v>136</v>
      </c>
      <c r="E107" s="137" t="s">
        <v>580</v>
      </c>
      <c r="F107" s="278" t="s">
        <v>581</v>
      </c>
      <c r="G107" s="139" t="s">
        <v>151</v>
      </c>
      <c r="H107" s="280">
        <f>H109</f>
        <v>177</v>
      </c>
      <c r="I107" s="141"/>
      <c r="J107" s="141">
        <f>ROUND(I107*H107,2)</f>
        <v>0</v>
      </c>
      <c r="K107" s="138" t="s">
        <v>141</v>
      </c>
      <c r="L107" s="31"/>
      <c r="M107" s="142" t="s">
        <v>3</v>
      </c>
      <c r="N107" s="143" t="s">
        <v>43</v>
      </c>
      <c r="O107" s="144">
        <v>0.265</v>
      </c>
      <c r="P107" s="144">
        <f>O107*H107</f>
        <v>46.905</v>
      </c>
      <c r="Q107" s="144">
        <v>0</v>
      </c>
      <c r="R107" s="144">
        <f>Q107*H107</f>
        <v>0</v>
      </c>
      <c r="S107" s="144">
        <v>0.009</v>
      </c>
      <c r="T107" s="145">
        <f>S107*H107</f>
        <v>1.593</v>
      </c>
      <c r="U107" s="30"/>
      <c r="V107" s="30"/>
      <c r="W107" s="30"/>
      <c r="X107" s="30"/>
      <c r="Y107" s="30"/>
      <c r="Z107" s="30"/>
      <c r="AA107" s="30"/>
      <c r="AB107" s="30"/>
      <c r="AC107" s="30"/>
      <c r="AD107" s="30"/>
      <c r="AE107" s="30"/>
      <c r="AR107" s="146" t="s">
        <v>138</v>
      </c>
      <c r="AT107" s="146" t="s">
        <v>136</v>
      </c>
      <c r="AU107" s="146" t="s">
        <v>82</v>
      </c>
      <c r="AY107" s="18" t="s">
        <v>133</v>
      </c>
      <c r="BE107" s="147">
        <f>IF(N107="základní",J107,0)</f>
        <v>0</v>
      </c>
      <c r="BF107" s="147">
        <f>IF(N107="snížená",J107,0)</f>
        <v>0</v>
      </c>
      <c r="BG107" s="147">
        <f>IF(N107="zákl. přenesená",J107,0)</f>
        <v>0</v>
      </c>
      <c r="BH107" s="147">
        <f>IF(N107="sníž. přenesená",J107,0)</f>
        <v>0</v>
      </c>
      <c r="BI107" s="147">
        <f>IF(N107="nulová",J107,0)</f>
        <v>0</v>
      </c>
      <c r="BJ107" s="18" t="s">
        <v>80</v>
      </c>
      <c r="BK107" s="147">
        <f>ROUND(I107*H107,2)</f>
        <v>0</v>
      </c>
      <c r="BL107" s="18" t="s">
        <v>138</v>
      </c>
      <c r="BM107" s="146" t="s">
        <v>582</v>
      </c>
    </row>
    <row r="108" spans="2:51" s="13" customFormat="1" ht="12">
      <c r="B108" s="148"/>
      <c r="D108" s="149" t="s">
        <v>139</v>
      </c>
      <c r="E108" s="150" t="s">
        <v>3</v>
      </c>
      <c r="F108" s="151" t="s">
        <v>913</v>
      </c>
      <c r="H108" s="150" t="s">
        <v>3</v>
      </c>
      <c r="L108" s="148"/>
      <c r="M108" s="152"/>
      <c r="N108" s="153"/>
      <c r="O108" s="153"/>
      <c r="P108" s="153"/>
      <c r="Q108" s="153"/>
      <c r="R108" s="153"/>
      <c r="S108" s="153"/>
      <c r="T108" s="154"/>
      <c r="AT108" s="150" t="s">
        <v>139</v>
      </c>
      <c r="AU108" s="150" t="s">
        <v>82</v>
      </c>
      <c r="AV108" s="13" t="s">
        <v>80</v>
      </c>
      <c r="AW108" s="13" t="s">
        <v>34</v>
      </c>
      <c r="AX108" s="13" t="s">
        <v>72</v>
      </c>
      <c r="AY108" s="150" t="s">
        <v>133</v>
      </c>
    </row>
    <row r="109" spans="2:51" s="14" customFormat="1" ht="12">
      <c r="B109" s="155"/>
      <c r="D109" s="149" t="s">
        <v>139</v>
      </c>
      <c r="E109" s="156" t="s">
        <v>3</v>
      </c>
      <c r="F109" s="157" t="s">
        <v>950</v>
      </c>
      <c r="H109" s="158">
        <f>H137+H142</f>
        <v>177</v>
      </c>
      <c r="L109" s="155"/>
      <c r="M109" s="159"/>
      <c r="N109" s="160"/>
      <c r="O109" s="160"/>
      <c r="P109" s="160"/>
      <c r="Q109" s="160"/>
      <c r="R109" s="160"/>
      <c r="S109" s="160"/>
      <c r="T109" s="161"/>
      <c r="AT109" s="156" t="s">
        <v>139</v>
      </c>
      <c r="AU109" s="156" t="s">
        <v>82</v>
      </c>
      <c r="AV109" s="14" t="s">
        <v>82</v>
      </c>
      <c r="AW109" s="14" t="s">
        <v>34</v>
      </c>
      <c r="AX109" s="14" t="s">
        <v>80</v>
      </c>
      <c r="AY109" s="156" t="s">
        <v>133</v>
      </c>
    </row>
    <row r="110" spans="2:63" s="12" customFormat="1" ht="22.9" customHeight="1">
      <c r="B110" s="123"/>
      <c r="D110" s="124" t="s">
        <v>71</v>
      </c>
      <c r="E110" s="133" t="s">
        <v>187</v>
      </c>
      <c r="F110" s="133" t="s">
        <v>188</v>
      </c>
      <c r="J110" s="134">
        <f>BK110</f>
        <v>0</v>
      </c>
      <c r="L110" s="123"/>
      <c r="M110" s="127"/>
      <c r="N110" s="128"/>
      <c r="O110" s="128"/>
      <c r="P110" s="129">
        <f>SUM(P111:P123)</f>
        <v>6.671578566</v>
      </c>
      <c r="Q110" s="128"/>
      <c r="R110" s="129">
        <f>SUM(R111:R123)</f>
        <v>0</v>
      </c>
      <c r="S110" s="128"/>
      <c r="T110" s="130">
        <f>SUM(T111:T123)</f>
        <v>0</v>
      </c>
      <c r="AR110" s="124" t="s">
        <v>80</v>
      </c>
      <c r="AT110" s="131" t="s">
        <v>71</v>
      </c>
      <c r="AU110" s="131" t="s">
        <v>80</v>
      </c>
      <c r="AY110" s="124" t="s">
        <v>133</v>
      </c>
      <c r="BK110" s="132">
        <f>SUM(BK111:BK123)</f>
        <v>0</v>
      </c>
    </row>
    <row r="111" spans="1:65" s="2" customFormat="1" ht="37.9" customHeight="1">
      <c r="A111" s="30"/>
      <c r="B111" s="135"/>
      <c r="C111" s="136">
        <v>6</v>
      </c>
      <c r="D111" s="136" t="s">
        <v>136</v>
      </c>
      <c r="E111" s="137" t="s">
        <v>189</v>
      </c>
      <c r="F111" s="138" t="s">
        <v>190</v>
      </c>
      <c r="G111" s="139" t="s">
        <v>144</v>
      </c>
      <c r="H111" s="280">
        <f>(177*0.07*0.07+0.06*0.06*0.45*8)*1.9</f>
        <v>1.672494</v>
      </c>
      <c r="I111" s="141"/>
      <c r="J111" s="141">
        <f>ROUND(I111*H111,2)</f>
        <v>0</v>
      </c>
      <c r="K111" s="138" t="s">
        <v>141</v>
      </c>
      <c r="L111" s="31"/>
      <c r="M111" s="142" t="s">
        <v>3</v>
      </c>
      <c r="N111" s="143" t="s">
        <v>43</v>
      </c>
      <c r="O111" s="144">
        <v>2.42</v>
      </c>
      <c r="P111" s="144">
        <f>O111*H111</f>
        <v>4.04743548</v>
      </c>
      <c r="Q111" s="144">
        <v>0</v>
      </c>
      <c r="R111" s="144">
        <f>Q111*H111</f>
        <v>0</v>
      </c>
      <c r="S111" s="144">
        <v>0</v>
      </c>
      <c r="T111" s="145">
        <f>S111*H111</f>
        <v>0</v>
      </c>
      <c r="U111" s="30"/>
      <c r="V111" s="30"/>
      <c r="W111" s="30"/>
      <c r="X111" s="30"/>
      <c r="Y111" s="30"/>
      <c r="Z111" s="30"/>
      <c r="AA111" s="30"/>
      <c r="AB111" s="30"/>
      <c r="AC111" s="30"/>
      <c r="AD111" s="30"/>
      <c r="AE111" s="30"/>
      <c r="AR111" s="146" t="s">
        <v>138</v>
      </c>
      <c r="AT111" s="146" t="s">
        <v>136</v>
      </c>
      <c r="AU111" s="146" t="s">
        <v>82</v>
      </c>
      <c r="AY111" s="18" t="s">
        <v>133</v>
      </c>
      <c r="BE111" s="147">
        <f>IF(N111="základní",J111,0)</f>
        <v>0</v>
      </c>
      <c r="BF111" s="147">
        <f>IF(N111="snížená",J111,0)</f>
        <v>0</v>
      </c>
      <c r="BG111" s="147">
        <f>IF(N111="zákl. přenesená",J111,0)</f>
        <v>0</v>
      </c>
      <c r="BH111" s="147">
        <f>IF(N111="sníž. přenesená",J111,0)</f>
        <v>0</v>
      </c>
      <c r="BI111" s="147">
        <f>IF(N111="nulová",J111,0)</f>
        <v>0</v>
      </c>
      <c r="BJ111" s="18" t="s">
        <v>80</v>
      </c>
      <c r="BK111" s="147">
        <f>ROUND(I111*H111,2)</f>
        <v>0</v>
      </c>
      <c r="BL111" s="18" t="s">
        <v>138</v>
      </c>
      <c r="BM111" s="146" t="s">
        <v>583</v>
      </c>
    </row>
    <row r="112" spans="1:47" s="2" customFormat="1" ht="146.25">
      <c r="A112" s="30"/>
      <c r="B112" s="31"/>
      <c r="C112" s="30"/>
      <c r="D112" s="149" t="s">
        <v>142</v>
      </c>
      <c r="E112" s="30"/>
      <c r="F112" s="162" t="s">
        <v>192</v>
      </c>
      <c r="G112" s="30"/>
      <c r="H112" s="30"/>
      <c r="I112" s="30"/>
      <c r="J112" s="30"/>
      <c r="K112" s="30"/>
      <c r="L112" s="31"/>
      <c r="M112" s="163"/>
      <c r="N112" s="164"/>
      <c r="O112" s="51"/>
      <c r="P112" s="51"/>
      <c r="Q112" s="51"/>
      <c r="R112" s="51"/>
      <c r="S112" s="51"/>
      <c r="T112" s="52"/>
      <c r="U112" s="30"/>
      <c r="V112" s="30"/>
      <c r="W112" s="30"/>
      <c r="X112" s="30"/>
      <c r="Y112" s="30"/>
      <c r="Z112" s="30"/>
      <c r="AA112" s="30"/>
      <c r="AB112" s="30"/>
      <c r="AC112" s="30"/>
      <c r="AD112" s="30"/>
      <c r="AE112" s="30"/>
      <c r="AT112" s="18" t="s">
        <v>142</v>
      </c>
      <c r="AU112" s="18" t="s">
        <v>82</v>
      </c>
    </row>
    <row r="113" spans="1:65" s="2" customFormat="1" ht="62.65" customHeight="1">
      <c r="A113" s="30"/>
      <c r="B113" s="135"/>
      <c r="C113" s="136">
        <v>7</v>
      </c>
      <c r="D113" s="136" t="s">
        <v>136</v>
      </c>
      <c r="E113" s="137" t="s">
        <v>193</v>
      </c>
      <c r="F113" s="138" t="s">
        <v>194</v>
      </c>
      <c r="G113" s="139" t="s">
        <v>144</v>
      </c>
      <c r="H113" s="140">
        <f>H111*5</f>
        <v>8.36247</v>
      </c>
      <c r="I113" s="141"/>
      <c r="J113" s="141">
        <f>ROUND(I113*H113,2)</f>
        <v>0</v>
      </c>
      <c r="K113" s="138" t="s">
        <v>141</v>
      </c>
      <c r="L113" s="31"/>
      <c r="M113" s="142" t="s">
        <v>3</v>
      </c>
      <c r="N113" s="143" t="s">
        <v>43</v>
      </c>
      <c r="O113" s="144">
        <v>0.26</v>
      </c>
      <c r="P113" s="144">
        <f>O113*H113</f>
        <v>2.1742422</v>
      </c>
      <c r="Q113" s="144">
        <v>0</v>
      </c>
      <c r="R113" s="144">
        <f>Q113*H113</f>
        <v>0</v>
      </c>
      <c r="S113" s="144">
        <v>0</v>
      </c>
      <c r="T113" s="145">
        <f>S113*H113</f>
        <v>0</v>
      </c>
      <c r="U113" s="30"/>
      <c r="V113" s="30"/>
      <c r="W113" s="30"/>
      <c r="X113" s="30"/>
      <c r="Y113" s="30"/>
      <c r="Z113" s="30"/>
      <c r="AA113" s="30"/>
      <c r="AB113" s="30"/>
      <c r="AC113" s="30"/>
      <c r="AD113" s="30"/>
      <c r="AE113" s="30"/>
      <c r="AR113" s="146" t="s">
        <v>138</v>
      </c>
      <c r="AT113" s="146" t="s">
        <v>136</v>
      </c>
      <c r="AU113" s="146" t="s">
        <v>82</v>
      </c>
      <c r="AY113" s="18" t="s">
        <v>133</v>
      </c>
      <c r="BE113" s="147">
        <f>IF(N113="základní",J113,0)</f>
        <v>0</v>
      </c>
      <c r="BF113" s="147">
        <f>IF(N113="snížená",J113,0)</f>
        <v>0</v>
      </c>
      <c r="BG113" s="147">
        <f>IF(N113="zákl. přenesená",J113,0)</f>
        <v>0</v>
      </c>
      <c r="BH113" s="147">
        <f>IF(N113="sníž. přenesená",J113,0)</f>
        <v>0</v>
      </c>
      <c r="BI113" s="147">
        <f>IF(N113="nulová",J113,0)</f>
        <v>0</v>
      </c>
      <c r="BJ113" s="18" t="s">
        <v>80</v>
      </c>
      <c r="BK113" s="147">
        <f>ROUND(I113*H113,2)</f>
        <v>0</v>
      </c>
      <c r="BL113" s="18" t="s">
        <v>138</v>
      </c>
      <c r="BM113" s="146" t="s">
        <v>584</v>
      </c>
    </row>
    <row r="114" spans="1:47" s="2" customFormat="1" ht="146.25">
      <c r="A114" s="30"/>
      <c r="B114" s="31"/>
      <c r="C114" s="30"/>
      <c r="D114" s="149" t="s">
        <v>142</v>
      </c>
      <c r="E114" s="30"/>
      <c r="F114" s="162" t="s">
        <v>192</v>
      </c>
      <c r="G114" s="30"/>
      <c r="H114" s="30"/>
      <c r="I114" s="30"/>
      <c r="J114" s="30"/>
      <c r="K114" s="30"/>
      <c r="L114" s="31"/>
      <c r="M114" s="163"/>
      <c r="N114" s="164"/>
      <c r="O114" s="51"/>
      <c r="P114" s="51"/>
      <c r="Q114" s="51"/>
      <c r="R114" s="51"/>
      <c r="S114" s="51"/>
      <c r="T114" s="52"/>
      <c r="U114" s="30"/>
      <c r="V114" s="30"/>
      <c r="W114" s="30"/>
      <c r="X114" s="30"/>
      <c r="Y114" s="30"/>
      <c r="Z114" s="30"/>
      <c r="AA114" s="30"/>
      <c r="AB114" s="30"/>
      <c r="AC114" s="30"/>
      <c r="AD114" s="30"/>
      <c r="AE114" s="30"/>
      <c r="AT114" s="18" t="s">
        <v>142</v>
      </c>
      <c r="AU114" s="18" t="s">
        <v>82</v>
      </c>
    </row>
    <row r="115" spans="2:51" s="14" customFormat="1" ht="12">
      <c r="B115" s="155"/>
      <c r="D115" s="149" t="s">
        <v>139</v>
      </c>
      <c r="F115" s="157" t="s">
        <v>952</v>
      </c>
      <c r="H115" s="158">
        <f>H113</f>
        <v>8.36247</v>
      </c>
      <c r="L115" s="155"/>
      <c r="M115" s="159"/>
      <c r="N115" s="160"/>
      <c r="O115" s="160"/>
      <c r="P115" s="160"/>
      <c r="Q115" s="160"/>
      <c r="R115" s="160"/>
      <c r="S115" s="160"/>
      <c r="T115" s="161"/>
      <c r="AT115" s="156" t="s">
        <v>139</v>
      </c>
      <c r="AU115" s="156" t="s">
        <v>82</v>
      </c>
      <c r="AV115" s="14" t="s">
        <v>82</v>
      </c>
      <c r="AW115" s="14" t="s">
        <v>4</v>
      </c>
      <c r="AX115" s="14" t="s">
        <v>80</v>
      </c>
      <c r="AY115" s="156" t="s">
        <v>133</v>
      </c>
    </row>
    <row r="116" spans="1:65" s="2" customFormat="1" ht="24.2" customHeight="1">
      <c r="A116" s="30"/>
      <c r="B116" s="135"/>
      <c r="C116" s="136">
        <v>8</v>
      </c>
      <c r="D116" s="136" t="s">
        <v>136</v>
      </c>
      <c r="E116" s="137" t="s">
        <v>196</v>
      </c>
      <c r="F116" s="138" t="s">
        <v>197</v>
      </c>
      <c r="G116" s="139" t="s">
        <v>144</v>
      </c>
      <c r="H116" s="140">
        <f>H111</f>
        <v>1.672494</v>
      </c>
      <c r="I116" s="141"/>
      <c r="J116" s="141">
        <f>ROUND(I116*H116,2)</f>
        <v>0</v>
      </c>
      <c r="K116" s="138" t="s">
        <v>141</v>
      </c>
      <c r="L116" s="31"/>
      <c r="M116" s="142" t="s">
        <v>3</v>
      </c>
      <c r="N116" s="143" t="s">
        <v>43</v>
      </c>
      <c r="O116" s="144">
        <v>0.125</v>
      </c>
      <c r="P116" s="144">
        <f>O116*H116</f>
        <v>0.20906175</v>
      </c>
      <c r="Q116" s="144">
        <v>0</v>
      </c>
      <c r="R116" s="144">
        <f>Q116*H116</f>
        <v>0</v>
      </c>
      <c r="S116" s="144">
        <v>0</v>
      </c>
      <c r="T116" s="145">
        <f>S116*H116</f>
        <v>0</v>
      </c>
      <c r="U116" s="30"/>
      <c r="V116" s="30"/>
      <c r="W116" s="30"/>
      <c r="X116" s="30"/>
      <c r="Y116" s="30"/>
      <c r="Z116" s="30"/>
      <c r="AA116" s="30"/>
      <c r="AB116" s="30"/>
      <c r="AC116" s="30"/>
      <c r="AD116" s="30"/>
      <c r="AE116" s="30"/>
      <c r="AR116" s="146" t="s">
        <v>138</v>
      </c>
      <c r="AT116" s="146" t="s">
        <v>136</v>
      </c>
      <c r="AU116" s="146" t="s">
        <v>82</v>
      </c>
      <c r="AY116" s="18" t="s">
        <v>133</v>
      </c>
      <c r="BE116" s="147">
        <f>IF(N116="základní",J116,0)</f>
        <v>0</v>
      </c>
      <c r="BF116" s="147">
        <f>IF(N116="snížená",J116,0)</f>
        <v>0</v>
      </c>
      <c r="BG116" s="147">
        <f>IF(N116="zákl. přenesená",J116,0)</f>
        <v>0</v>
      </c>
      <c r="BH116" s="147">
        <f>IF(N116="sníž. přenesená",J116,0)</f>
        <v>0</v>
      </c>
      <c r="BI116" s="147">
        <f>IF(N116="nulová",J116,0)</f>
        <v>0</v>
      </c>
      <c r="BJ116" s="18" t="s">
        <v>80</v>
      </c>
      <c r="BK116" s="147">
        <f>ROUND(I116*H116,2)</f>
        <v>0</v>
      </c>
      <c r="BL116" s="18" t="s">
        <v>138</v>
      </c>
      <c r="BM116" s="146" t="s">
        <v>585</v>
      </c>
    </row>
    <row r="117" spans="1:47" s="2" customFormat="1" ht="97.5">
      <c r="A117" s="30"/>
      <c r="B117" s="31"/>
      <c r="C117" s="30"/>
      <c r="D117" s="149" t="s">
        <v>142</v>
      </c>
      <c r="E117" s="30"/>
      <c r="F117" s="162" t="s">
        <v>199</v>
      </c>
      <c r="G117" s="30"/>
      <c r="H117" s="30"/>
      <c r="I117" s="30"/>
      <c r="J117" s="30"/>
      <c r="K117" s="30"/>
      <c r="L117" s="31"/>
      <c r="M117" s="163"/>
      <c r="N117" s="164"/>
      <c r="O117" s="51"/>
      <c r="P117" s="51"/>
      <c r="Q117" s="51"/>
      <c r="R117" s="51"/>
      <c r="S117" s="51"/>
      <c r="T117" s="52"/>
      <c r="U117" s="30"/>
      <c r="V117" s="30"/>
      <c r="W117" s="30"/>
      <c r="X117" s="30"/>
      <c r="Y117" s="30"/>
      <c r="Z117" s="30"/>
      <c r="AA117" s="30"/>
      <c r="AB117" s="30"/>
      <c r="AC117" s="30"/>
      <c r="AD117" s="30"/>
      <c r="AE117" s="30"/>
      <c r="AT117" s="18" t="s">
        <v>142</v>
      </c>
      <c r="AU117" s="18" t="s">
        <v>82</v>
      </c>
    </row>
    <row r="118" spans="1:65" s="2" customFormat="1" ht="37.9" customHeight="1">
      <c r="A118" s="30"/>
      <c r="B118" s="135"/>
      <c r="C118" s="136">
        <v>9</v>
      </c>
      <c r="D118" s="136" t="s">
        <v>136</v>
      </c>
      <c r="E118" s="137" t="s">
        <v>200</v>
      </c>
      <c r="F118" s="138" t="s">
        <v>201</v>
      </c>
      <c r="G118" s="139" t="s">
        <v>144</v>
      </c>
      <c r="H118" s="140">
        <f>H116*24</f>
        <v>40.139855999999995</v>
      </c>
      <c r="I118" s="141"/>
      <c r="J118" s="141">
        <f>ROUND(I118*H118,2)</f>
        <v>0</v>
      </c>
      <c r="K118" s="138" t="s">
        <v>141</v>
      </c>
      <c r="L118" s="31"/>
      <c r="M118" s="142" t="s">
        <v>3</v>
      </c>
      <c r="N118" s="143" t="s">
        <v>43</v>
      </c>
      <c r="O118" s="144">
        <v>0.006</v>
      </c>
      <c r="P118" s="144">
        <f>O118*H118</f>
        <v>0.24083913599999998</v>
      </c>
      <c r="Q118" s="144">
        <v>0</v>
      </c>
      <c r="R118" s="144">
        <f>Q118*H118</f>
        <v>0</v>
      </c>
      <c r="S118" s="144">
        <v>0</v>
      </c>
      <c r="T118" s="145">
        <f>S118*H118</f>
        <v>0</v>
      </c>
      <c r="U118" s="30"/>
      <c r="V118" s="30"/>
      <c r="W118" s="30"/>
      <c r="X118" s="30"/>
      <c r="Y118" s="30"/>
      <c r="Z118" s="30"/>
      <c r="AA118" s="30"/>
      <c r="AB118" s="30"/>
      <c r="AC118" s="30"/>
      <c r="AD118" s="30"/>
      <c r="AE118" s="30"/>
      <c r="AR118" s="146" t="s">
        <v>138</v>
      </c>
      <c r="AT118" s="146" t="s">
        <v>136</v>
      </c>
      <c r="AU118" s="146" t="s">
        <v>82</v>
      </c>
      <c r="AY118" s="18" t="s">
        <v>133</v>
      </c>
      <c r="BE118" s="147">
        <f>IF(N118="základní",J118,0)</f>
        <v>0</v>
      </c>
      <c r="BF118" s="147">
        <f>IF(N118="snížená",J118,0)</f>
        <v>0</v>
      </c>
      <c r="BG118" s="147">
        <f>IF(N118="zákl. přenesená",J118,0)</f>
        <v>0</v>
      </c>
      <c r="BH118" s="147">
        <f>IF(N118="sníž. přenesená",J118,0)</f>
        <v>0</v>
      </c>
      <c r="BI118" s="147">
        <f>IF(N118="nulová",J118,0)</f>
        <v>0</v>
      </c>
      <c r="BJ118" s="18" t="s">
        <v>80</v>
      </c>
      <c r="BK118" s="147">
        <f>ROUND(I118*H118,2)</f>
        <v>0</v>
      </c>
      <c r="BL118" s="18" t="s">
        <v>138</v>
      </c>
      <c r="BM118" s="146" t="s">
        <v>586</v>
      </c>
    </row>
    <row r="119" spans="1:47" s="2" customFormat="1" ht="97.5">
      <c r="A119" s="30"/>
      <c r="B119" s="31"/>
      <c r="C119" s="30"/>
      <c r="D119" s="149" t="s">
        <v>142</v>
      </c>
      <c r="E119" s="30"/>
      <c r="F119" s="162" t="s">
        <v>199</v>
      </c>
      <c r="G119" s="30"/>
      <c r="H119" s="30"/>
      <c r="I119" s="30"/>
      <c r="J119" s="30"/>
      <c r="K119" s="30"/>
      <c r="L119" s="31"/>
      <c r="M119" s="163"/>
      <c r="N119" s="164"/>
      <c r="O119" s="51"/>
      <c r="P119" s="51"/>
      <c r="Q119" s="51"/>
      <c r="R119" s="51"/>
      <c r="S119" s="51"/>
      <c r="T119" s="52"/>
      <c r="U119" s="30"/>
      <c r="V119" s="30"/>
      <c r="W119" s="30"/>
      <c r="X119" s="30"/>
      <c r="Y119" s="30"/>
      <c r="Z119" s="30"/>
      <c r="AA119" s="30"/>
      <c r="AB119" s="30"/>
      <c r="AC119" s="30"/>
      <c r="AD119" s="30"/>
      <c r="AE119" s="30"/>
      <c r="AT119" s="18" t="s">
        <v>142</v>
      </c>
      <c r="AU119" s="18" t="s">
        <v>82</v>
      </c>
    </row>
    <row r="120" spans="2:51" s="14" customFormat="1" ht="12">
      <c r="B120" s="155"/>
      <c r="D120" s="149" t="s">
        <v>139</v>
      </c>
      <c r="F120" s="157" t="s">
        <v>953</v>
      </c>
      <c r="H120" s="158">
        <f>H118</f>
        <v>40.139855999999995</v>
      </c>
      <c r="L120" s="155"/>
      <c r="M120" s="159"/>
      <c r="N120" s="160"/>
      <c r="O120" s="160"/>
      <c r="P120" s="160"/>
      <c r="Q120" s="160"/>
      <c r="R120" s="160"/>
      <c r="S120" s="160"/>
      <c r="T120" s="161"/>
      <c r="AT120" s="156" t="s">
        <v>139</v>
      </c>
      <c r="AU120" s="156" t="s">
        <v>82</v>
      </c>
      <c r="AV120" s="14" t="s">
        <v>82</v>
      </c>
      <c r="AW120" s="14" t="s">
        <v>4</v>
      </c>
      <c r="AX120" s="14" t="s">
        <v>80</v>
      </c>
      <c r="AY120" s="156" t="s">
        <v>133</v>
      </c>
    </row>
    <row r="121" spans="1:65" s="2" customFormat="1" ht="37.9" customHeight="1">
      <c r="A121" s="30"/>
      <c r="B121" s="135"/>
      <c r="C121" s="136">
        <v>10</v>
      </c>
      <c r="D121" s="136" t="s">
        <v>136</v>
      </c>
      <c r="E121" s="137" t="s">
        <v>203</v>
      </c>
      <c r="F121" s="138" t="s">
        <v>204</v>
      </c>
      <c r="G121" s="139" t="s">
        <v>144</v>
      </c>
      <c r="H121" s="140">
        <f>H116</f>
        <v>1.672494</v>
      </c>
      <c r="I121" s="141"/>
      <c r="J121" s="141">
        <f>ROUND(I121*H121,2)</f>
        <v>0</v>
      </c>
      <c r="K121" s="138" t="s">
        <v>141</v>
      </c>
      <c r="L121" s="31"/>
      <c r="M121" s="142" t="s">
        <v>3</v>
      </c>
      <c r="N121" s="143" t="s">
        <v>43</v>
      </c>
      <c r="O121" s="144">
        <v>0</v>
      </c>
      <c r="P121" s="144">
        <f>O121*H121</f>
        <v>0</v>
      </c>
      <c r="Q121" s="144">
        <v>0</v>
      </c>
      <c r="R121" s="144">
        <f>Q121*H121</f>
        <v>0</v>
      </c>
      <c r="S121" s="144">
        <v>0</v>
      </c>
      <c r="T121" s="145">
        <f>S121*H121</f>
        <v>0</v>
      </c>
      <c r="U121" s="30"/>
      <c r="V121" s="30"/>
      <c r="W121" s="30"/>
      <c r="X121" s="30"/>
      <c r="Y121" s="30"/>
      <c r="Z121" s="30"/>
      <c r="AA121" s="30"/>
      <c r="AB121" s="30"/>
      <c r="AC121" s="30"/>
      <c r="AD121" s="30"/>
      <c r="AE121" s="30"/>
      <c r="AR121" s="146" t="s">
        <v>138</v>
      </c>
      <c r="AT121" s="146" t="s">
        <v>136</v>
      </c>
      <c r="AU121" s="146" t="s">
        <v>82</v>
      </c>
      <c r="AY121" s="18" t="s">
        <v>133</v>
      </c>
      <c r="BE121" s="147">
        <f>IF(N121="základní",J121,0)</f>
        <v>0</v>
      </c>
      <c r="BF121" s="147">
        <f>IF(N121="snížená",J121,0)</f>
        <v>0</v>
      </c>
      <c r="BG121" s="147">
        <f>IF(N121="zákl. přenesená",J121,0)</f>
        <v>0</v>
      </c>
      <c r="BH121" s="147">
        <f>IF(N121="sníž. přenesená",J121,0)</f>
        <v>0</v>
      </c>
      <c r="BI121" s="147">
        <f>IF(N121="nulová",J121,0)</f>
        <v>0</v>
      </c>
      <c r="BJ121" s="18" t="s">
        <v>80</v>
      </c>
      <c r="BK121" s="147">
        <f>ROUND(I121*H121,2)</f>
        <v>0</v>
      </c>
      <c r="BL121" s="18" t="s">
        <v>138</v>
      </c>
      <c r="BM121" s="146" t="s">
        <v>587</v>
      </c>
    </row>
    <row r="122" spans="1:47" s="2" customFormat="1" ht="107.25">
      <c r="A122" s="30"/>
      <c r="B122" s="31"/>
      <c r="C122" s="30"/>
      <c r="D122" s="149" t="s">
        <v>142</v>
      </c>
      <c r="E122" s="30"/>
      <c r="F122" s="162" t="s">
        <v>206</v>
      </c>
      <c r="G122" s="30"/>
      <c r="H122" s="30"/>
      <c r="I122" s="30"/>
      <c r="J122" s="30"/>
      <c r="K122" s="30"/>
      <c r="L122" s="31"/>
      <c r="M122" s="163"/>
      <c r="N122" s="164"/>
      <c r="O122" s="51"/>
      <c r="P122" s="51"/>
      <c r="Q122" s="51"/>
      <c r="R122" s="51"/>
      <c r="S122" s="51"/>
      <c r="T122" s="52"/>
      <c r="U122" s="30"/>
      <c r="V122" s="30"/>
      <c r="W122" s="30"/>
      <c r="X122" s="30"/>
      <c r="Y122" s="30"/>
      <c r="Z122" s="30"/>
      <c r="AA122" s="30"/>
      <c r="AB122" s="30"/>
      <c r="AC122" s="30"/>
      <c r="AD122" s="30"/>
      <c r="AE122" s="30"/>
      <c r="AT122" s="18" t="s">
        <v>142</v>
      </c>
      <c r="AU122" s="18" t="s">
        <v>82</v>
      </c>
    </row>
    <row r="123" spans="1:65" s="2" customFormat="1" ht="24.2" customHeight="1">
      <c r="A123" s="30"/>
      <c r="B123" s="135"/>
      <c r="C123" s="136">
        <v>11</v>
      </c>
      <c r="D123" s="136" t="s">
        <v>136</v>
      </c>
      <c r="E123" s="137" t="s">
        <v>402</v>
      </c>
      <c r="F123" s="138" t="s">
        <v>403</v>
      </c>
      <c r="G123" s="139" t="s">
        <v>404</v>
      </c>
      <c r="H123" s="140">
        <v>1</v>
      </c>
      <c r="I123" s="141"/>
      <c r="J123" s="141">
        <f>ROUND(I123*H123,2)</f>
        <v>0</v>
      </c>
      <c r="K123" s="138" t="s">
        <v>137</v>
      </c>
      <c r="L123" s="31"/>
      <c r="M123" s="142" t="s">
        <v>3</v>
      </c>
      <c r="N123" s="143" t="s">
        <v>43</v>
      </c>
      <c r="O123" s="144">
        <v>0</v>
      </c>
      <c r="P123" s="144">
        <f>O123*H123</f>
        <v>0</v>
      </c>
      <c r="Q123" s="144">
        <v>0</v>
      </c>
      <c r="R123" s="144">
        <f>Q123*H123</f>
        <v>0</v>
      </c>
      <c r="S123" s="144">
        <v>0</v>
      </c>
      <c r="T123" s="145">
        <f>S123*H123</f>
        <v>0</v>
      </c>
      <c r="U123" s="30"/>
      <c r="V123" s="30"/>
      <c r="W123" s="30"/>
      <c r="X123" s="30"/>
      <c r="Y123" s="30"/>
      <c r="Z123" s="30"/>
      <c r="AA123" s="30"/>
      <c r="AB123" s="30"/>
      <c r="AC123" s="30"/>
      <c r="AD123" s="30"/>
      <c r="AE123" s="30"/>
      <c r="AR123" s="146" t="s">
        <v>138</v>
      </c>
      <c r="AT123" s="146" t="s">
        <v>136</v>
      </c>
      <c r="AU123" s="146" t="s">
        <v>82</v>
      </c>
      <c r="AY123" s="18" t="s">
        <v>133</v>
      </c>
      <c r="BE123" s="147">
        <f>IF(N123="základní",J123,0)</f>
        <v>0</v>
      </c>
      <c r="BF123" s="147">
        <f>IF(N123="snížená",J123,0)</f>
        <v>0</v>
      </c>
      <c r="BG123" s="147">
        <f>IF(N123="zákl. přenesená",J123,0)</f>
        <v>0</v>
      </c>
      <c r="BH123" s="147">
        <f>IF(N123="sníž. přenesená",J123,0)</f>
        <v>0</v>
      </c>
      <c r="BI123" s="147">
        <f>IF(N123="nulová",J123,0)</f>
        <v>0</v>
      </c>
      <c r="BJ123" s="18" t="s">
        <v>80</v>
      </c>
      <c r="BK123" s="147">
        <f>ROUND(I123*H123,2)</f>
        <v>0</v>
      </c>
      <c r="BL123" s="18" t="s">
        <v>138</v>
      </c>
      <c r="BM123" s="146" t="s">
        <v>588</v>
      </c>
    </row>
    <row r="124" spans="2:63" s="12" customFormat="1" ht="22.9" customHeight="1">
      <c r="B124" s="123"/>
      <c r="D124" s="124" t="s">
        <v>71</v>
      </c>
      <c r="E124" s="133" t="s">
        <v>207</v>
      </c>
      <c r="F124" s="133" t="s">
        <v>208</v>
      </c>
      <c r="J124" s="134">
        <f>BK124</f>
        <v>0</v>
      </c>
      <c r="L124" s="123"/>
      <c r="M124" s="127"/>
      <c r="N124" s="128"/>
      <c r="O124" s="128"/>
      <c r="P124" s="129">
        <f>SUM(P125:P126)</f>
        <v>1.3332000000000002</v>
      </c>
      <c r="Q124" s="128"/>
      <c r="R124" s="129">
        <f>SUM(R125:R126)</f>
        <v>0</v>
      </c>
      <c r="S124" s="128"/>
      <c r="T124" s="130">
        <f>SUM(T125:T126)</f>
        <v>0</v>
      </c>
      <c r="AR124" s="124" t="s">
        <v>80</v>
      </c>
      <c r="AT124" s="131" t="s">
        <v>71</v>
      </c>
      <c r="AU124" s="131" t="s">
        <v>80</v>
      </c>
      <c r="AY124" s="124" t="s">
        <v>133</v>
      </c>
      <c r="BK124" s="132">
        <f>SUM(BK125:BK126)</f>
        <v>0</v>
      </c>
    </row>
    <row r="125" spans="1:65" s="2" customFormat="1" ht="49.15" customHeight="1">
      <c r="A125" s="30"/>
      <c r="B125" s="135"/>
      <c r="C125" s="136">
        <v>12</v>
      </c>
      <c r="D125" s="136" t="s">
        <v>136</v>
      </c>
      <c r="E125" s="137" t="s">
        <v>209</v>
      </c>
      <c r="F125" s="138" t="s">
        <v>210</v>
      </c>
      <c r="G125" s="139" t="s">
        <v>144</v>
      </c>
      <c r="H125" s="140">
        <v>0.33</v>
      </c>
      <c r="I125" s="141"/>
      <c r="J125" s="141">
        <f>ROUND(I125*H125,2)</f>
        <v>0</v>
      </c>
      <c r="K125" s="138" t="s">
        <v>141</v>
      </c>
      <c r="L125" s="31"/>
      <c r="M125" s="142" t="s">
        <v>3</v>
      </c>
      <c r="N125" s="143" t="s">
        <v>43</v>
      </c>
      <c r="O125" s="144">
        <v>4.04</v>
      </c>
      <c r="P125" s="144">
        <f>O125*H125</f>
        <v>1.3332000000000002</v>
      </c>
      <c r="Q125" s="144">
        <v>0</v>
      </c>
      <c r="R125" s="144">
        <f>Q125*H125</f>
        <v>0</v>
      </c>
      <c r="S125" s="144">
        <v>0</v>
      </c>
      <c r="T125" s="145">
        <f>S125*H125</f>
        <v>0</v>
      </c>
      <c r="U125" s="30"/>
      <c r="V125" s="30"/>
      <c r="W125" s="30"/>
      <c r="X125" s="30"/>
      <c r="Y125" s="30"/>
      <c r="Z125" s="30"/>
      <c r="AA125" s="30"/>
      <c r="AB125" s="30"/>
      <c r="AC125" s="30"/>
      <c r="AD125" s="30"/>
      <c r="AE125" s="30"/>
      <c r="AR125" s="146" t="s">
        <v>138</v>
      </c>
      <c r="AT125" s="146" t="s">
        <v>136</v>
      </c>
      <c r="AU125" s="146" t="s">
        <v>82</v>
      </c>
      <c r="AY125" s="18" t="s">
        <v>133</v>
      </c>
      <c r="BE125" s="147">
        <f>IF(N125="základní",J125,0)</f>
        <v>0</v>
      </c>
      <c r="BF125" s="147">
        <f>IF(N125="snížená",J125,0)</f>
        <v>0</v>
      </c>
      <c r="BG125" s="147">
        <f>IF(N125="zákl. přenesená",J125,0)</f>
        <v>0</v>
      </c>
      <c r="BH125" s="147">
        <f>IF(N125="sníž. přenesená",J125,0)</f>
        <v>0</v>
      </c>
      <c r="BI125" s="147">
        <f>IF(N125="nulová",J125,0)</f>
        <v>0</v>
      </c>
      <c r="BJ125" s="18" t="s">
        <v>80</v>
      </c>
      <c r="BK125" s="147">
        <f>ROUND(I125*H125,2)</f>
        <v>0</v>
      </c>
      <c r="BL125" s="18" t="s">
        <v>138</v>
      </c>
      <c r="BM125" s="146" t="s">
        <v>589</v>
      </c>
    </row>
    <row r="126" spans="1:47" s="2" customFormat="1" ht="87.75">
      <c r="A126" s="30"/>
      <c r="B126" s="31"/>
      <c r="C126" s="30"/>
      <c r="D126" s="149" t="s">
        <v>142</v>
      </c>
      <c r="E126" s="30"/>
      <c r="F126" s="162" t="s">
        <v>212</v>
      </c>
      <c r="G126" s="30"/>
      <c r="H126" s="30"/>
      <c r="I126" s="30"/>
      <c r="J126" s="30"/>
      <c r="K126" s="30"/>
      <c r="L126" s="31"/>
      <c r="M126" s="163"/>
      <c r="N126" s="164"/>
      <c r="O126" s="51"/>
      <c r="P126" s="51"/>
      <c r="Q126" s="51"/>
      <c r="R126" s="51"/>
      <c r="S126" s="51"/>
      <c r="T126" s="52"/>
      <c r="U126" s="30"/>
      <c r="V126" s="30"/>
      <c r="W126" s="30"/>
      <c r="X126" s="30"/>
      <c r="Y126" s="30"/>
      <c r="Z126" s="30"/>
      <c r="AA126" s="30"/>
      <c r="AB126" s="30"/>
      <c r="AC126" s="30"/>
      <c r="AD126" s="30"/>
      <c r="AE126" s="30"/>
      <c r="AT126" s="18" t="s">
        <v>142</v>
      </c>
      <c r="AU126" s="18" t="s">
        <v>82</v>
      </c>
    </row>
    <row r="127" spans="2:63" s="12" customFormat="1" ht="25.9" customHeight="1">
      <c r="B127" s="123"/>
      <c r="D127" s="124" t="s">
        <v>71</v>
      </c>
      <c r="E127" s="125" t="s">
        <v>213</v>
      </c>
      <c r="F127" s="125" t="s">
        <v>214</v>
      </c>
      <c r="J127" s="126">
        <f>BK127</f>
        <v>0</v>
      </c>
      <c r="L127" s="123"/>
      <c r="M127" s="127"/>
      <c r="N127" s="128"/>
      <c r="O127" s="128"/>
      <c r="P127" s="129">
        <f>P128+P168</f>
        <v>53.559999999999995</v>
      </c>
      <c r="Q127" s="128"/>
      <c r="R127" s="129">
        <f>R128+R168</f>
        <v>0.04367199999999999</v>
      </c>
      <c r="S127" s="128"/>
      <c r="T127" s="130">
        <f>T128+T168</f>
        <v>0</v>
      </c>
      <c r="AR127" s="124" t="s">
        <v>82</v>
      </c>
      <c r="AT127" s="131" t="s">
        <v>71</v>
      </c>
      <c r="AU127" s="131" t="s">
        <v>72</v>
      </c>
      <c r="AY127" s="124" t="s">
        <v>133</v>
      </c>
      <c r="BK127" s="132">
        <f>BK128+BK168</f>
        <v>0</v>
      </c>
    </row>
    <row r="128" spans="2:63" s="12" customFormat="1" ht="22.9" customHeight="1">
      <c r="B128" s="123"/>
      <c r="D128" s="124" t="s">
        <v>71</v>
      </c>
      <c r="E128" s="133" t="s">
        <v>590</v>
      </c>
      <c r="F128" s="133" t="s">
        <v>591</v>
      </c>
      <c r="J128" s="134">
        <f>BK128</f>
        <v>0</v>
      </c>
      <c r="L128" s="123"/>
      <c r="M128" s="127"/>
      <c r="N128" s="128"/>
      <c r="O128" s="128"/>
      <c r="P128" s="129">
        <f>SUM(P129:P167)</f>
        <v>50.946</v>
      </c>
      <c r="Q128" s="128"/>
      <c r="R128" s="129">
        <f>SUM(R129:R167)</f>
        <v>0.03428799999999999</v>
      </c>
      <c r="S128" s="128"/>
      <c r="T128" s="130">
        <f>SUM(T129:T167)</f>
        <v>0</v>
      </c>
      <c r="AR128" s="124" t="s">
        <v>82</v>
      </c>
      <c r="AT128" s="131" t="s">
        <v>71</v>
      </c>
      <c r="AU128" s="131" t="s">
        <v>80</v>
      </c>
      <c r="AY128" s="124" t="s">
        <v>133</v>
      </c>
      <c r="BK128" s="132">
        <f>SUM(BK129:BK167)</f>
        <v>0</v>
      </c>
    </row>
    <row r="129" spans="1:65" s="2" customFormat="1" ht="49.15" customHeight="1">
      <c r="A129" s="30"/>
      <c r="B129" s="135"/>
      <c r="C129" s="136">
        <v>13</v>
      </c>
      <c r="D129" s="136" t="s">
        <v>136</v>
      </c>
      <c r="E129" s="137" t="s">
        <v>592</v>
      </c>
      <c r="F129" s="138" t="s">
        <v>593</v>
      </c>
      <c r="G129" s="139" t="s">
        <v>140</v>
      </c>
      <c r="H129" s="140">
        <f>H131</f>
        <v>11</v>
      </c>
      <c r="I129" s="141"/>
      <c r="J129" s="141">
        <f>ROUND(I129*H129,2)</f>
        <v>0</v>
      </c>
      <c r="K129" s="138" t="s">
        <v>141</v>
      </c>
      <c r="L129" s="31"/>
      <c r="M129" s="142" t="s">
        <v>3</v>
      </c>
      <c r="N129" s="143" t="s">
        <v>43</v>
      </c>
      <c r="O129" s="144">
        <v>0.2</v>
      </c>
      <c r="P129" s="144">
        <f>O129*H129</f>
        <v>2.2</v>
      </c>
      <c r="Q129" s="144">
        <v>0</v>
      </c>
      <c r="R129" s="144">
        <f>Q129*H129</f>
        <v>0</v>
      </c>
      <c r="S129" s="144">
        <v>0</v>
      </c>
      <c r="T129" s="145">
        <f>S129*H129</f>
        <v>0</v>
      </c>
      <c r="U129" s="30"/>
      <c r="V129" s="30"/>
      <c r="W129" s="30"/>
      <c r="X129" s="30"/>
      <c r="Y129" s="30"/>
      <c r="Z129" s="30"/>
      <c r="AA129" s="30"/>
      <c r="AB129" s="30"/>
      <c r="AC129" s="30"/>
      <c r="AD129" s="30"/>
      <c r="AE129" s="30"/>
      <c r="AR129" s="146" t="s">
        <v>154</v>
      </c>
      <c r="AT129" s="146" t="s">
        <v>136</v>
      </c>
      <c r="AU129" s="146" t="s">
        <v>82</v>
      </c>
      <c r="AY129" s="18" t="s">
        <v>133</v>
      </c>
      <c r="BE129" s="147">
        <f>IF(N129="základní",J129,0)</f>
        <v>0</v>
      </c>
      <c r="BF129" s="147">
        <f>IF(N129="snížená",J129,0)</f>
        <v>0</v>
      </c>
      <c r="BG129" s="147">
        <f>IF(N129="zákl. přenesená",J129,0)</f>
        <v>0</v>
      </c>
      <c r="BH129" s="147">
        <f>IF(N129="sníž. přenesená",J129,0)</f>
        <v>0</v>
      </c>
      <c r="BI129" s="147">
        <f>IF(N129="nulová",J129,0)</f>
        <v>0</v>
      </c>
      <c r="BJ129" s="18" t="s">
        <v>80</v>
      </c>
      <c r="BK129" s="147">
        <f>ROUND(I129*H129,2)</f>
        <v>0</v>
      </c>
      <c r="BL129" s="18" t="s">
        <v>154</v>
      </c>
      <c r="BM129" s="146" t="s">
        <v>594</v>
      </c>
    </row>
    <row r="130" spans="2:51" s="13" customFormat="1" ht="12">
      <c r="B130" s="148"/>
      <c r="D130" s="149" t="s">
        <v>139</v>
      </c>
      <c r="E130" s="150" t="s">
        <v>3</v>
      </c>
      <c r="F130" s="151" t="s">
        <v>914</v>
      </c>
      <c r="H130" s="150" t="s">
        <v>3</v>
      </c>
      <c r="L130" s="148"/>
      <c r="M130" s="152"/>
      <c r="N130" s="153"/>
      <c r="O130" s="153"/>
      <c r="P130" s="153"/>
      <c r="Q130" s="153"/>
      <c r="R130" s="153"/>
      <c r="S130" s="153"/>
      <c r="T130" s="154"/>
      <c r="AT130" s="150" t="s">
        <v>139</v>
      </c>
      <c r="AU130" s="150" t="s">
        <v>82</v>
      </c>
      <c r="AV130" s="13" t="s">
        <v>80</v>
      </c>
      <c r="AW130" s="13" t="s">
        <v>34</v>
      </c>
      <c r="AX130" s="13" t="s">
        <v>72</v>
      </c>
      <c r="AY130" s="150" t="s">
        <v>133</v>
      </c>
    </row>
    <row r="131" spans="2:51" s="14" customFormat="1" ht="12">
      <c r="B131" s="155"/>
      <c r="D131" s="149" t="s">
        <v>139</v>
      </c>
      <c r="E131" s="156" t="s">
        <v>3</v>
      </c>
      <c r="F131" s="301">
        <v>11</v>
      </c>
      <c r="H131" s="158">
        <f>F131</f>
        <v>11</v>
      </c>
      <c r="L131" s="155"/>
      <c r="M131" s="159"/>
      <c r="N131" s="160"/>
      <c r="O131" s="160"/>
      <c r="P131" s="160"/>
      <c r="Q131" s="160"/>
      <c r="R131" s="160"/>
      <c r="S131" s="160"/>
      <c r="T131" s="161"/>
      <c r="AT131" s="156" t="s">
        <v>139</v>
      </c>
      <c r="AU131" s="156" t="s">
        <v>82</v>
      </c>
      <c r="AV131" s="14" t="s">
        <v>82</v>
      </c>
      <c r="AW131" s="14" t="s">
        <v>34</v>
      </c>
      <c r="AX131" s="14" t="s">
        <v>80</v>
      </c>
      <c r="AY131" s="156" t="s">
        <v>133</v>
      </c>
    </row>
    <row r="132" spans="1:65" s="2" customFormat="1" ht="24.2" customHeight="1">
      <c r="A132" s="30"/>
      <c r="B132" s="135"/>
      <c r="C132" s="172">
        <v>14</v>
      </c>
      <c r="D132" s="172" t="s">
        <v>146</v>
      </c>
      <c r="E132" s="173" t="s">
        <v>595</v>
      </c>
      <c r="F132" s="174" t="s">
        <v>596</v>
      </c>
      <c r="G132" s="175" t="s">
        <v>140</v>
      </c>
      <c r="H132" s="176">
        <f>H129</f>
        <v>11</v>
      </c>
      <c r="I132" s="177"/>
      <c r="J132" s="177">
        <f>ROUND(I132*H132,2)</f>
        <v>0</v>
      </c>
      <c r="K132" s="174" t="s">
        <v>141</v>
      </c>
      <c r="L132" s="178"/>
      <c r="M132" s="179" t="s">
        <v>3</v>
      </c>
      <c r="N132" s="180" t="s">
        <v>43</v>
      </c>
      <c r="O132" s="144">
        <v>0</v>
      </c>
      <c r="P132" s="144">
        <f>O132*H132</f>
        <v>0</v>
      </c>
      <c r="Q132" s="144">
        <v>5E-05</v>
      </c>
      <c r="R132" s="144">
        <f>Q132*H132</f>
        <v>0.00055</v>
      </c>
      <c r="S132" s="144">
        <v>0</v>
      </c>
      <c r="T132" s="145">
        <f>S132*H132</f>
        <v>0</v>
      </c>
      <c r="U132" s="30"/>
      <c r="V132" s="30"/>
      <c r="W132" s="30"/>
      <c r="X132" s="30"/>
      <c r="Y132" s="30"/>
      <c r="Z132" s="30"/>
      <c r="AA132" s="30"/>
      <c r="AB132" s="30"/>
      <c r="AC132" s="30"/>
      <c r="AD132" s="30"/>
      <c r="AE132" s="30"/>
      <c r="AR132" s="146" t="s">
        <v>162</v>
      </c>
      <c r="AT132" s="146" t="s">
        <v>146</v>
      </c>
      <c r="AU132" s="146" t="s">
        <v>82</v>
      </c>
      <c r="AY132" s="18" t="s">
        <v>133</v>
      </c>
      <c r="BE132" s="147">
        <f>IF(N132="základní",J132,0)</f>
        <v>0</v>
      </c>
      <c r="BF132" s="147">
        <f>IF(N132="snížená",J132,0)</f>
        <v>0</v>
      </c>
      <c r="BG132" s="147">
        <f>IF(N132="zákl. přenesená",J132,0)</f>
        <v>0</v>
      </c>
      <c r="BH132" s="147">
        <f>IF(N132="sníž. přenesená",J132,0)</f>
        <v>0</v>
      </c>
      <c r="BI132" s="147">
        <f>IF(N132="nulová",J132,0)</f>
        <v>0</v>
      </c>
      <c r="BJ132" s="18" t="s">
        <v>80</v>
      </c>
      <c r="BK132" s="147">
        <f>ROUND(I132*H132,2)</f>
        <v>0</v>
      </c>
      <c r="BL132" s="18" t="s">
        <v>154</v>
      </c>
      <c r="BM132" s="146" t="s">
        <v>597</v>
      </c>
    </row>
    <row r="133" spans="1:65" s="2" customFormat="1" ht="37.9" customHeight="1">
      <c r="A133" s="30"/>
      <c r="B133" s="135"/>
      <c r="C133" s="136">
        <v>15</v>
      </c>
      <c r="D133" s="136" t="s">
        <v>136</v>
      </c>
      <c r="E133" s="137" t="s">
        <v>598</v>
      </c>
      <c r="F133" s="138" t="s">
        <v>599</v>
      </c>
      <c r="G133" s="139" t="s">
        <v>140</v>
      </c>
      <c r="H133" s="140">
        <f>H135</f>
        <v>24</v>
      </c>
      <c r="I133" s="141"/>
      <c r="J133" s="141">
        <f>ROUND(I133*H133,2)</f>
        <v>0</v>
      </c>
      <c r="K133" s="138" t="s">
        <v>141</v>
      </c>
      <c r="L133" s="31"/>
      <c r="M133" s="142" t="s">
        <v>3</v>
      </c>
      <c r="N133" s="143" t="s">
        <v>43</v>
      </c>
      <c r="O133" s="144">
        <v>0.091</v>
      </c>
      <c r="P133" s="144">
        <f>O133*H133</f>
        <v>2.184</v>
      </c>
      <c r="Q133" s="144">
        <v>0</v>
      </c>
      <c r="R133" s="144">
        <f>Q133*H133</f>
        <v>0</v>
      </c>
      <c r="S133" s="144">
        <v>0</v>
      </c>
      <c r="T133" s="145">
        <f>S133*H133</f>
        <v>0</v>
      </c>
      <c r="U133" s="30"/>
      <c r="V133" s="30"/>
      <c r="W133" s="30"/>
      <c r="X133" s="30"/>
      <c r="Y133" s="30"/>
      <c r="Z133" s="30"/>
      <c r="AA133" s="30"/>
      <c r="AB133" s="30"/>
      <c r="AC133" s="30"/>
      <c r="AD133" s="30"/>
      <c r="AE133" s="30"/>
      <c r="AR133" s="146" t="s">
        <v>154</v>
      </c>
      <c r="AT133" s="146" t="s">
        <v>136</v>
      </c>
      <c r="AU133" s="146" t="s">
        <v>82</v>
      </c>
      <c r="AY133" s="18" t="s">
        <v>133</v>
      </c>
      <c r="BE133" s="147">
        <f>IF(N133="základní",J133,0)</f>
        <v>0</v>
      </c>
      <c r="BF133" s="147">
        <f>IF(N133="snížená",J133,0)</f>
        <v>0</v>
      </c>
      <c r="BG133" s="147">
        <f>IF(N133="zákl. přenesená",J133,0)</f>
        <v>0</v>
      </c>
      <c r="BH133" s="147">
        <f>IF(N133="sníž. přenesená",J133,0)</f>
        <v>0</v>
      </c>
      <c r="BI133" s="147">
        <f>IF(N133="nulová",J133,0)</f>
        <v>0</v>
      </c>
      <c r="BJ133" s="18" t="s">
        <v>80</v>
      </c>
      <c r="BK133" s="147">
        <f>ROUND(I133*H133,2)</f>
        <v>0</v>
      </c>
      <c r="BL133" s="18" t="s">
        <v>154</v>
      </c>
      <c r="BM133" s="146" t="s">
        <v>600</v>
      </c>
    </row>
    <row r="134" spans="2:51" s="13" customFormat="1" ht="12">
      <c r="B134" s="148"/>
      <c r="D134" s="149" t="s">
        <v>139</v>
      </c>
      <c r="E134" s="150" t="s">
        <v>3</v>
      </c>
      <c r="F134" s="151" t="s">
        <v>914</v>
      </c>
      <c r="H134" s="150" t="s">
        <v>3</v>
      </c>
      <c r="L134" s="148"/>
      <c r="M134" s="152"/>
      <c r="N134" s="153"/>
      <c r="O134" s="153"/>
      <c r="P134" s="153"/>
      <c r="Q134" s="153"/>
      <c r="R134" s="153"/>
      <c r="S134" s="153"/>
      <c r="T134" s="154"/>
      <c r="AT134" s="150" t="s">
        <v>139</v>
      </c>
      <c r="AU134" s="150" t="s">
        <v>82</v>
      </c>
      <c r="AV134" s="13" t="s">
        <v>80</v>
      </c>
      <c r="AW134" s="13" t="s">
        <v>34</v>
      </c>
      <c r="AX134" s="13" t="s">
        <v>72</v>
      </c>
      <c r="AY134" s="150" t="s">
        <v>133</v>
      </c>
    </row>
    <row r="135" spans="2:51" s="14" customFormat="1" ht="12">
      <c r="B135" s="155"/>
      <c r="D135" s="149" t="s">
        <v>139</v>
      </c>
      <c r="E135" s="156" t="s">
        <v>3</v>
      </c>
      <c r="F135" s="157">
        <v>24</v>
      </c>
      <c r="H135" s="158">
        <f>F135</f>
        <v>24</v>
      </c>
      <c r="L135" s="155"/>
      <c r="M135" s="159"/>
      <c r="N135" s="160"/>
      <c r="O135" s="160"/>
      <c r="P135" s="160"/>
      <c r="Q135" s="160"/>
      <c r="R135" s="160"/>
      <c r="S135" s="160"/>
      <c r="T135" s="161"/>
      <c r="AT135" s="156" t="s">
        <v>139</v>
      </c>
      <c r="AU135" s="156" t="s">
        <v>82</v>
      </c>
      <c r="AV135" s="14" t="s">
        <v>82</v>
      </c>
      <c r="AW135" s="14" t="s">
        <v>34</v>
      </c>
      <c r="AX135" s="14" t="s">
        <v>80</v>
      </c>
      <c r="AY135" s="156" t="s">
        <v>133</v>
      </c>
    </row>
    <row r="136" spans="1:65" s="2" customFormat="1" ht="14.45" customHeight="1">
      <c r="A136" s="30"/>
      <c r="B136" s="135"/>
      <c r="C136" s="172">
        <v>16</v>
      </c>
      <c r="D136" s="172" t="s">
        <v>146</v>
      </c>
      <c r="E136" s="173" t="s">
        <v>601</v>
      </c>
      <c r="F136" s="174" t="s">
        <v>602</v>
      </c>
      <c r="G136" s="175" t="s">
        <v>140</v>
      </c>
      <c r="H136" s="176">
        <f>H133</f>
        <v>24</v>
      </c>
      <c r="I136" s="177"/>
      <c r="J136" s="177">
        <f>ROUND(I136*H136,2)</f>
        <v>0</v>
      </c>
      <c r="K136" s="174" t="s">
        <v>141</v>
      </c>
      <c r="L136" s="178"/>
      <c r="M136" s="179" t="s">
        <v>3</v>
      </c>
      <c r="N136" s="180" t="s">
        <v>43</v>
      </c>
      <c r="O136" s="144">
        <v>0</v>
      </c>
      <c r="P136" s="144">
        <f>O136*H136</f>
        <v>0</v>
      </c>
      <c r="Q136" s="144">
        <v>3E-05</v>
      </c>
      <c r="R136" s="144">
        <f>Q136*H136</f>
        <v>0.00072</v>
      </c>
      <c r="S136" s="144">
        <v>0</v>
      </c>
      <c r="T136" s="145">
        <f>S136*H136</f>
        <v>0</v>
      </c>
      <c r="U136" s="30"/>
      <c r="V136" s="30"/>
      <c r="W136" s="30"/>
      <c r="X136" s="30"/>
      <c r="Y136" s="30"/>
      <c r="Z136" s="30"/>
      <c r="AA136" s="30"/>
      <c r="AB136" s="30"/>
      <c r="AC136" s="30"/>
      <c r="AD136" s="30"/>
      <c r="AE136" s="30"/>
      <c r="AR136" s="146" t="s">
        <v>162</v>
      </c>
      <c r="AT136" s="146" t="s">
        <v>146</v>
      </c>
      <c r="AU136" s="146" t="s">
        <v>82</v>
      </c>
      <c r="AY136" s="18" t="s">
        <v>133</v>
      </c>
      <c r="BE136" s="147">
        <f>IF(N136="základní",J136,0)</f>
        <v>0</v>
      </c>
      <c r="BF136" s="147">
        <f>IF(N136="snížená",J136,0)</f>
        <v>0</v>
      </c>
      <c r="BG136" s="147">
        <f>IF(N136="zákl. přenesená",J136,0)</f>
        <v>0</v>
      </c>
      <c r="BH136" s="147">
        <f>IF(N136="sníž. přenesená",J136,0)</f>
        <v>0</v>
      </c>
      <c r="BI136" s="147">
        <f>IF(N136="nulová",J136,0)</f>
        <v>0</v>
      </c>
      <c r="BJ136" s="18" t="s">
        <v>80</v>
      </c>
      <c r="BK136" s="147">
        <f>ROUND(I136*H136,2)</f>
        <v>0</v>
      </c>
      <c r="BL136" s="18" t="s">
        <v>154</v>
      </c>
      <c r="BM136" s="146" t="s">
        <v>603</v>
      </c>
    </row>
    <row r="137" spans="1:65" s="2" customFormat="1" ht="37.9" customHeight="1">
      <c r="A137" s="30"/>
      <c r="B137" s="135"/>
      <c r="C137" s="136">
        <v>17</v>
      </c>
      <c r="D137" s="136" t="s">
        <v>136</v>
      </c>
      <c r="E137" s="137" t="s">
        <v>604</v>
      </c>
      <c r="F137" s="138" t="s">
        <v>605</v>
      </c>
      <c r="G137" s="139" t="s">
        <v>151</v>
      </c>
      <c r="H137" s="140">
        <f>H139</f>
        <v>98</v>
      </c>
      <c r="I137" s="141"/>
      <c r="J137" s="141">
        <f>ROUND(I137*H137,2)</f>
        <v>0</v>
      </c>
      <c r="K137" s="138" t="s">
        <v>141</v>
      </c>
      <c r="L137" s="31"/>
      <c r="M137" s="142" t="s">
        <v>3</v>
      </c>
      <c r="N137" s="143" t="s">
        <v>43</v>
      </c>
      <c r="O137" s="144">
        <v>0.082</v>
      </c>
      <c r="P137" s="144">
        <f>O137*H137</f>
        <v>8.036</v>
      </c>
      <c r="Q137" s="144">
        <v>0</v>
      </c>
      <c r="R137" s="144">
        <f>Q137*H137</f>
        <v>0</v>
      </c>
      <c r="S137" s="144">
        <v>0</v>
      </c>
      <c r="T137" s="145">
        <f>S137*H137</f>
        <v>0</v>
      </c>
      <c r="U137" s="30"/>
      <c r="V137" s="30"/>
      <c r="W137" s="30"/>
      <c r="X137" s="30"/>
      <c r="Y137" s="30"/>
      <c r="Z137" s="30"/>
      <c r="AA137" s="30"/>
      <c r="AB137" s="30"/>
      <c r="AC137" s="30"/>
      <c r="AD137" s="30"/>
      <c r="AE137" s="30"/>
      <c r="AR137" s="146" t="s">
        <v>154</v>
      </c>
      <c r="AT137" s="146" t="s">
        <v>136</v>
      </c>
      <c r="AU137" s="146" t="s">
        <v>82</v>
      </c>
      <c r="AY137" s="18" t="s">
        <v>133</v>
      </c>
      <c r="BE137" s="147">
        <f>IF(N137="základní",J137,0)</f>
        <v>0</v>
      </c>
      <c r="BF137" s="147">
        <f>IF(N137="snížená",J137,0)</f>
        <v>0</v>
      </c>
      <c r="BG137" s="147">
        <f>IF(N137="zákl. přenesená",J137,0)</f>
        <v>0</v>
      </c>
      <c r="BH137" s="147">
        <f>IF(N137="sníž. přenesená",J137,0)</f>
        <v>0</v>
      </c>
      <c r="BI137" s="147">
        <f>IF(N137="nulová",J137,0)</f>
        <v>0</v>
      </c>
      <c r="BJ137" s="18" t="s">
        <v>80</v>
      </c>
      <c r="BK137" s="147">
        <f>ROUND(I137*H137,2)</f>
        <v>0</v>
      </c>
      <c r="BL137" s="18" t="s">
        <v>154</v>
      </c>
      <c r="BM137" s="146" t="s">
        <v>606</v>
      </c>
    </row>
    <row r="138" spans="2:51" s="13" customFormat="1" ht="12">
      <c r="B138" s="148"/>
      <c r="D138" s="149" t="s">
        <v>139</v>
      </c>
      <c r="E138" s="150" t="s">
        <v>3</v>
      </c>
      <c r="F138" s="151" t="s">
        <v>913</v>
      </c>
      <c r="H138" s="150"/>
      <c r="L138" s="148"/>
      <c r="M138" s="152"/>
      <c r="N138" s="153"/>
      <c r="O138" s="153"/>
      <c r="P138" s="153"/>
      <c r="Q138" s="153"/>
      <c r="R138" s="153"/>
      <c r="S138" s="153"/>
      <c r="T138" s="154"/>
      <c r="AT138" s="150" t="s">
        <v>139</v>
      </c>
      <c r="AU138" s="150" t="s">
        <v>82</v>
      </c>
      <c r="AV138" s="13" t="s">
        <v>80</v>
      </c>
      <c r="AW138" s="13" t="s">
        <v>34</v>
      </c>
      <c r="AX138" s="13" t="s">
        <v>72</v>
      </c>
      <c r="AY138" s="150" t="s">
        <v>133</v>
      </c>
    </row>
    <row r="139" spans="2:51" s="14" customFormat="1" ht="12">
      <c r="B139" s="155"/>
      <c r="D139" s="149" t="s">
        <v>139</v>
      </c>
      <c r="E139" s="156" t="s">
        <v>3</v>
      </c>
      <c r="F139" s="157">
        <v>98</v>
      </c>
      <c r="H139" s="158">
        <f>F139</f>
        <v>98</v>
      </c>
      <c r="L139" s="155"/>
      <c r="M139" s="159"/>
      <c r="N139" s="160"/>
      <c r="O139" s="160"/>
      <c r="P139" s="160"/>
      <c r="Q139" s="160"/>
      <c r="R139" s="160"/>
      <c r="S139" s="160"/>
      <c r="T139" s="161"/>
      <c r="AT139" s="156" t="s">
        <v>139</v>
      </c>
      <c r="AU139" s="156" t="s">
        <v>82</v>
      </c>
      <c r="AV139" s="14" t="s">
        <v>82</v>
      </c>
      <c r="AW139" s="14" t="s">
        <v>34</v>
      </c>
      <c r="AX139" s="14" t="s">
        <v>80</v>
      </c>
      <c r="AY139" s="156" t="s">
        <v>133</v>
      </c>
    </row>
    <row r="140" spans="1:65" s="2" customFormat="1" ht="14.45" customHeight="1">
      <c r="A140" s="30"/>
      <c r="B140" s="135"/>
      <c r="C140" s="172">
        <v>18</v>
      </c>
      <c r="D140" s="172" t="s">
        <v>146</v>
      </c>
      <c r="E140" s="173" t="s">
        <v>607</v>
      </c>
      <c r="F140" s="174" t="s">
        <v>608</v>
      </c>
      <c r="G140" s="175" t="s">
        <v>151</v>
      </c>
      <c r="H140" s="176">
        <f>H137*1.2</f>
        <v>117.6</v>
      </c>
      <c r="I140" s="177"/>
      <c r="J140" s="177">
        <f>ROUND(I140*H140,2)</f>
        <v>0</v>
      </c>
      <c r="K140" s="174" t="s">
        <v>141</v>
      </c>
      <c r="L140" s="178"/>
      <c r="M140" s="179" t="s">
        <v>3</v>
      </c>
      <c r="N140" s="180" t="s">
        <v>43</v>
      </c>
      <c r="O140" s="144">
        <v>0</v>
      </c>
      <c r="P140" s="144">
        <f>O140*H140</f>
        <v>0</v>
      </c>
      <c r="Q140" s="144">
        <v>0.00012</v>
      </c>
      <c r="R140" s="144">
        <f>Q140*H140</f>
        <v>0.014112</v>
      </c>
      <c r="S140" s="144">
        <v>0</v>
      </c>
      <c r="T140" s="145">
        <f>S140*H140</f>
        <v>0</v>
      </c>
      <c r="U140" s="30"/>
      <c r="V140" s="30"/>
      <c r="W140" s="30"/>
      <c r="X140" s="30"/>
      <c r="Y140" s="30"/>
      <c r="Z140" s="30"/>
      <c r="AA140" s="30"/>
      <c r="AB140" s="30"/>
      <c r="AC140" s="30"/>
      <c r="AD140" s="30"/>
      <c r="AE140" s="30"/>
      <c r="AR140" s="146" t="s">
        <v>162</v>
      </c>
      <c r="AT140" s="146" t="s">
        <v>146</v>
      </c>
      <c r="AU140" s="146" t="s">
        <v>82</v>
      </c>
      <c r="AY140" s="18" t="s">
        <v>133</v>
      </c>
      <c r="BE140" s="147">
        <f>IF(N140="základní",J140,0)</f>
        <v>0</v>
      </c>
      <c r="BF140" s="147">
        <f>IF(N140="snížená",J140,0)</f>
        <v>0</v>
      </c>
      <c r="BG140" s="147">
        <f>IF(N140="zákl. přenesená",J140,0)</f>
        <v>0</v>
      </c>
      <c r="BH140" s="147">
        <f>IF(N140="sníž. přenesená",J140,0)</f>
        <v>0</v>
      </c>
      <c r="BI140" s="147">
        <f>IF(N140="nulová",J140,0)</f>
        <v>0</v>
      </c>
      <c r="BJ140" s="18" t="s">
        <v>80</v>
      </c>
      <c r="BK140" s="147">
        <f>ROUND(I140*H140,2)</f>
        <v>0</v>
      </c>
      <c r="BL140" s="18" t="s">
        <v>154</v>
      </c>
      <c r="BM140" s="146" t="s">
        <v>609</v>
      </c>
    </row>
    <row r="141" spans="2:51" s="14" customFormat="1" ht="12">
      <c r="B141" s="155"/>
      <c r="D141" s="149" t="s">
        <v>139</v>
      </c>
      <c r="F141" s="157" t="s">
        <v>947</v>
      </c>
      <c r="H141" s="158">
        <f>H140</f>
        <v>117.6</v>
      </c>
      <c r="L141" s="155"/>
      <c r="M141" s="159"/>
      <c r="N141" s="160"/>
      <c r="O141" s="160"/>
      <c r="P141" s="160"/>
      <c r="Q141" s="160"/>
      <c r="R141" s="160"/>
      <c r="S141" s="160"/>
      <c r="T141" s="161"/>
      <c r="AT141" s="156" t="s">
        <v>139</v>
      </c>
      <c r="AU141" s="156" t="s">
        <v>82</v>
      </c>
      <c r="AV141" s="14" t="s">
        <v>82</v>
      </c>
      <c r="AW141" s="14" t="s">
        <v>4</v>
      </c>
      <c r="AX141" s="14" t="s">
        <v>80</v>
      </c>
      <c r="AY141" s="156" t="s">
        <v>133</v>
      </c>
    </row>
    <row r="142" spans="1:65" s="2" customFormat="1" ht="37.9" customHeight="1">
      <c r="A142" s="30"/>
      <c r="B142" s="135"/>
      <c r="C142" s="136">
        <v>19</v>
      </c>
      <c r="D142" s="136" t="s">
        <v>136</v>
      </c>
      <c r="E142" s="137" t="s">
        <v>610</v>
      </c>
      <c r="F142" s="138" t="s">
        <v>611</v>
      </c>
      <c r="G142" s="139" t="s">
        <v>151</v>
      </c>
      <c r="H142" s="140">
        <f>H144</f>
        <v>79</v>
      </c>
      <c r="I142" s="141"/>
      <c r="J142" s="141">
        <f>ROUND(I142*H142,2)</f>
        <v>0</v>
      </c>
      <c r="K142" s="138" t="s">
        <v>141</v>
      </c>
      <c r="L142" s="31"/>
      <c r="M142" s="142" t="s">
        <v>3</v>
      </c>
      <c r="N142" s="143" t="s">
        <v>43</v>
      </c>
      <c r="O142" s="144">
        <v>0.086</v>
      </c>
      <c r="P142" s="144">
        <f>O142*H142</f>
        <v>6.794</v>
      </c>
      <c r="Q142" s="144">
        <v>0</v>
      </c>
      <c r="R142" s="144">
        <f>Q142*H142</f>
        <v>0</v>
      </c>
      <c r="S142" s="144">
        <v>0</v>
      </c>
      <c r="T142" s="145">
        <f>S142*H142</f>
        <v>0</v>
      </c>
      <c r="U142" s="30"/>
      <c r="V142" s="30"/>
      <c r="W142" s="30"/>
      <c r="X142" s="30"/>
      <c r="Y142" s="30"/>
      <c r="Z142" s="30"/>
      <c r="AA142" s="30"/>
      <c r="AB142" s="30"/>
      <c r="AC142" s="30"/>
      <c r="AD142" s="30"/>
      <c r="AE142" s="30"/>
      <c r="AR142" s="146" t="s">
        <v>154</v>
      </c>
      <c r="AT142" s="146" t="s">
        <v>136</v>
      </c>
      <c r="AU142" s="146" t="s">
        <v>82</v>
      </c>
      <c r="AY142" s="18" t="s">
        <v>133</v>
      </c>
      <c r="BE142" s="147">
        <f>IF(N142="základní",J142,0)</f>
        <v>0</v>
      </c>
      <c r="BF142" s="147">
        <f>IF(N142="snížená",J142,0)</f>
        <v>0</v>
      </c>
      <c r="BG142" s="147">
        <f>IF(N142="zákl. přenesená",J142,0)</f>
        <v>0</v>
      </c>
      <c r="BH142" s="147">
        <f>IF(N142="sníž. přenesená",J142,0)</f>
        <v>0</v>
      </c>
      <c r="BI142" s="147">
        <f>IF(N142="nulová",J142,0)</f>
        <v>0</v>
      </c>
      <c r="BJ142" s="18" t="s">
        <v>80</v>
      </c>
      <c r="BK142" s="147">
        <f>ROUND(I142*H142,2)</f>
        <v>0</v>
      </c>
      <c r="BL142" s="18" t="s">
        <v>154</v>
      </c>
      <c r="BM142" s="146" t="s">
        <v>612</v>
      </c>
    </row>
    <row r="143" spans="2:51" s="13" customFormat="1" ht="12">
      <c r="B143" s="148"/>
      <c r="D143" s="149" t="s">
        <v>139</v>
      </c>
      <c r="E143" s="150" t="s">
        <v>3</v>
      </c>
      <c r="F143" s="151" t="s">
        <v>913</v>
      </c>
      <c r="H143" s="150" t="s">
        <v>3</v>
      </c>
      <c r="L143" s="148"/>
      <c r="M143" s="152"/>
      <c r="N143" s="153"/>
      <c r="O143" s="153"/>
      <c r="P143" s="153"/>
      <c r="Q143" s="153"/>
      <c r="R143" s="153"/>
      <c r="S143" s="153"/>
      <c r="T143" s="154"/>
      <c r="AT143" s="150" t="s">
        <v>139</v>
      </c>
      <c r="AU143" s="150" t="s">
        <v>82</v>
      </c>
      <c r="AV143" s="13" t="s">
        <v>80</v>
      </c>
      <c r="AW143" s="13" t="s">
        <v>34</v>
      </c>
      <c r="AX143" s="13" t="s">
        <v>72</v>
      </c>
      <c r="AY143" s="150" t="s">
        <v>133</v>
      </c>
    </row>
    <row r="144" spans="2:51" s="14" customFormat="1" ht="12">
      <c r="B144" s="155"/>
      <c r="D144" s="149" t="s">
        <v>139</v>
      </c>
      <c r="E144" s="156" t="s">
        <v>3</v>
      </c>
      <c r="F144" s="157">
        <v>79</v>
      </c>
      <c r="H144" s="158">
        <f>F144</f>
        <v>79</v>
      </c>
      <c r="L144" s="155"/>
      <c r="M144" s="159"/>
      <c r="N144" s="160"/>
      <c r="O144" s="160"/>
      <c r="P144" s="160"/>
      <c r="Q144" s="160"/>
      <c r="R144" s="160"/>
      <c r="S144" s="160"/>
      <c r="T144" s="161"/>
      <c r="AT144" s="156" t="s">
        <v>139</v>
      </c>
      <c r="AU144" s="156" t="s">
        <v>82</v>
      </c>
      <c r="AV144" s="14" t="s">
        <v>82</v>
      </c>
      <c r="AW144" s="14" t="s">
        <v>34</v>
      </c>
      <c r="AX144" s="14" t="s">
        <v>80</v>
      </c>
      <c r="AY144" s="156" t="s">
        <v>133</v>
      </c>
    </row>
    <row r="145" spans="1:65" s="2" customFormat="1" ht="14.45" customHeight="1">
      <c r="A145" s="30"/>
      <c r="B145" s="135"/>
      <c r="C145" s="172">
        <v>20</v>
      </c>
      <c r="D145" s="172" t="s">
        <v>146</v>
      </c>
      <c r="E145" s="173" t="s">
        <v>613</v>
      </c>
      <c r="F145" s="174" t="s">
        <v>614</v>
      </c>
      <c r="G145" s="175" t="s">
        <v>151</v>
      </c>
      <c r="H145" s="176">
        <f>H146</f>
        <v>94.8</v>
      </c>
      <c r="I145" s="177"/>
      <c r="J145" s="177">
        <f>ROUND(I145*H145,2)</f>
        <v>0</v>
      </c>
      <c r="K145" s="174" t="s">
        <v>141</v>
      </c>
      <c r="L145" s="178"/>
      <c r="M145" s="179" t="s">
        <v>3</v>
      </c>
      <c r="N145" s="180" t="s">
        <v>43</v>
      </c>
      <c r="O145" s="144">
        <v>0</v>
      </c>
      <c r="P145" s="144">
        <f>O145*H145</f>
        <v>0</v>
      </c>
      <c r="Q145" s="144">
        <v>0.00017</v>
      </c>
      <c r="R145" s="144">
        <f>Q145*H145</f>
        <v>0.016116000000000002</v>
      </c>
      <c r="S145" s="144">
        <v>0</v>
      </c>
      <c r="T145" s="145">
        <f>S145*H145</f>
        <v>0</v>
      </c>
      <c r="U145" s="30"/>
      <c r="V145" s="30"/>
      <c r="W145" s="30"/>
      <c r="X145" s="30"/>
      <c r="Y145" s="30"/>
      <c r="Z145" s="30"/>
      <c r="AA145" s="30"/>
      <c r="AB145" s="30"/>
      <c r="AC145" s="30"/>
      <c r="AD145" s="30"/>
      <c r="AE145" s="30"/>
      <c r="AR145" s="146" t="s">
        <v>162</v>
      </c>
      <c r="AT145" s="146" t="s">
        <v>146</v>
      </c>
      <c r="AU145" s="146" t="s">
        <v>82</v>
      </c>
      <c r="AY145" s="18" t="s">
        <v>133</v>
      </c>
      <c r="BE145" s="147">
        <f>IF(N145="základní",J145,0)</f>
        <v>0</v>
      </c>
      <c r="BF145" s="147">
        <f>IF(N145="snížená",J145,0)</f>
        <v>0</v>
      </c>
      <c r="BG145" s="147">
        <f>IF(N145="zákl. přenesená",J145,0)</f>
        <v>0</v>
      </c>
      <c r="BH145" s="147">
        <f>IF(N145="sníž. přenesená",J145,0)</f>
        <v>0</v>
      </c>
      <c r="BI145" s="147">
        <f>IF(N145="nulová",J145,0)</f>
        <v>0</v>
      </c>
      <c r="BJ145" s="18" t="s">
        <v>80</v>
      </c>
      <c r="BK145" s="147">
        <f>ROUND(I145*H145,2)</f>
        <v>0</v>
      </c>
      <c r="BL145" s="18" t="s">
        <v>154</v>
      </c>
      <c r="BM145" s="146" t="s">
        <v>615</v>
      </c>
    </row>
    <row r="146" spans="2:51" s="14" customFormat="1" ht="12">
      <c r="B146" s="155"/>
      <c r="D146" s="149" t="s">
        <v>139</v>
      </c>
      <c r="F146" s="157" t="s">
        <v>948</v>
      </c>
      <c r="H146" s="158">
        <f>H142*1.2</f>
        <v>94.8</v>
      </c>
      <c r="L146" s="155"/>
      <c r="M146" s="159"/>
      <c r="N146" s="160"/>
      <c r="O146" s="160"/>
      <c r="P146" s="160"/>
      <c r="Q146" s="160"/>
      <c r="R146" s="160"/>
      <c r="S146" s="160"/>
      <c r="T146" s="161"/>
      <c r="AT146" s="156" t="s">
        <v>139</v>
      </c>
      <c r="AU146" s="156" t="s">
        <v>82</v>
      </c>
      <c r="AV146" s="14" t="s">
        <v>82</v>
      </c>
      <c r="AW146" s="14" t="s">
        <v>4</v>
      </c>
      <c r="AX146" s="14" t="s">
        <v>80</v>
      </c>
      <c r="AY146" s="156" t="s">
        <v>133</v>
      </c>
    </row>
    <row r="147" spans="1:65" s="2" customFormat="1" ht="37.9" customHeight="1">
      <c r="A147" s="30"/>
      <c r="B147" s="135"/>
      <c r="C147" s="136">
        <v>21</v>
      </c>
      <c r="D147" s="136" t="s">
        <v>136</v>
      </c>
      <c r="E147" s="137" t="s">
        <v>616</v>
      </c>
      <c r="F147" s="138" t="s">
        <v>617</v>
      </c>
      <c r="G147" s="139" t="s">
        <v>140</v>
      </c>
      <c r="H147" s="140">
        <v>3</v>
      </c>
      <c r="I147" s="141"/>
      <c r="J147" s="141">
        <f>ROUND(I147*H147,2)</f>
        <v>0</v>
      </c>
      <c r="K147" s="138" t="s">
        <v>141</v>
      </c>
      <c r="L147" s="31"/>
      <c r="M147" s="142" t="s">
        <v>3</v>
      </c>
      <c r="N147" s="143" t="s">
        <v>43</v>
      </c>
      <c r="O147" s="144">
        <v>0.306</v>
      </c>
      <c r="P147" s="144">
        <f>O147*H147</f>
        <v>0.9179999999999999</v>
      </c>
      <c r="Q147" s="144">
        <v>0</v>
      </c>
      <c r="R147" s="144">
        <f>Q147*H147</f>
        <v>0</v>
      </c>
      <c r="S147" s="144">
        <v>0</v>
      </c>
      <c r="T147" s="145">
        <f>S147*H147</f>
        <v>0</v>
      </c>
      <c r="U147" s="30"/>
      <c r="V147" s="30"/>
      <c r="W147" s="30"/>
      <c r="X147" s="30"/>
      <c r="Y147" s="30"/>
      <c r="Z147" s="30"/>
      <c r="AA147" s="30"/>
      <c r="AB147" s="30"/>
      <c r="AC147" s="30"/>
      <c r="AD147" s="30"/>
      <c r="AE147" s="30"/>
      <c r="AR147" s="146" t="s">
        <v>154</v>
      </c>
      <c r="AT147" s="146" t="s">
        <v>136</v>
      </c>
      <c r="AU147" s="146" t="s">
        <v>82</v>
      </c>
      <c r="AY147" s="18" t="s">
        <v>133</v>
      </c>
      <c r="BE147" s="147">
        <f>IF(N147="základní",J147,0)</f>
        <v>0</v>
      </c>
      <c r="BF147" s="147">
        <f>IF(N147="snížená",J147,0)</f>
        <v>0</v>
      </c>
      <c r="BG147" s="147">
        <f>IF(N147="zákl. přenesená",J147,0)</f>
        <v>0</v>
      </c>
      <c r="BH147" s="147">
        <f>IF(N147="sníž. přenesená",J147,0)</f>
        <v>0</v>
      </c>
      <c r="BI147" s="147">
        <f>IF(N147="nulová",J147,0)</f>
        <v>0</v>
      </c>
      <c r="BJ147" s="18" t="s">
        <v>80</v>
      </c>
      <c r="BK147" s="147">
        <f>ROUND(I147*H147,2)</f>
        <v>0</v>
      </c>
      <c r="BL147" s="18" t="s">
        <v>154</v>
      </c>
      <c r="BM147" s="146" t="s">
        <v>618</v>
      </c>
    </row>
    <row r="148" spans="1:65" s="2" customFormat="1" ht="14.45" customHeight="1">
      <c r="A148" s="30"/>
      <c r="B148" s="135"/>
      <c r="C148" s="172">
        <v>22</v>
      </c>
      <c r="D148" s="172" t="s">
        <v>146</v>
      </c>
      <c r="E148" s="173" t="s">
        <v>619</v>
      </c>
      <c r="F148" s="174" t="s">
        <v>620</v>
      </c>
      <c r="G148" s="175" t="s">
        <v>140</v>
      </c>
      <c r="H148" s="176">
        <f>H147</f>
        <v>3</v>
      </c>
      <c r="I148" s="177"/>
      <c r="J148" s="177">
        <f>ROUND(I148*H148,2)</f>
        <v>0</v>
      </c>
      <c r="K148" s="174" t="s">
        <v>141</v>
      </c>
      <c r="L148" s="178"/>
      <c r="M148" s="179" t="s">
        <v>3</v>
      </c>
      <c r="N148" s="180" t="s">
        <v>43</v>
      </c>
      <c r="O148" s="144">
        <v>0</v>
      </c>
      <c r="P148" s="144">
        <f>O148*H148</f>
        <v>0</v>
      </c>
      <c r="Q148" s="144">
        <v>5E-05</v>
      </c>
      <c r="R148" s="144">
        <f>Q148*H148</f>
        <v>0.00015000000000000001</v>
      </c>
      <c r="S148" s="144">
        <v>0</v>
      </c>
      <c r="T148" s="145">
        <f>S148*H148</f>
        <v>0</v>
      </c>
      <c r="U148" s="30"/>
      <c r="V148" s="30"/>
      <c r="W148" s="30"/>
      <c r="X148" s="30"/>
      <c r="Y148" s="30"/>
      <c r="Z148" s="30"/>
      <c r="AA148" s="30"/>
      <c r="AB148" s="30"/>
      <c r="AC148" s="30"/>
      <c r="AD148" s="30"/>
      <c r="AE148" s="30"/>
      <c r="AR148" s="146" t="s">
        <v>162</v>
      </c>
      <c r="AT148" s="146" t="s">
        <v>146</v>
      </c>
      <c r="AU148" s="146" t="s">
        <v>82</v>
      </c>
      <c r="AY148" s="18" t="s">
        <v>133</v>
      </c>
      <c r="BE148" s="147">
        <f>IF(N148="základní",J148,0)</f>
        <v>0</v>
      </c>
      <c r="BF148" s="147">
        <f>IF(N148="snížená",J148,0)</f>
        <v>0</v>
      </c>
      <c r="BG148" s="147">
        <f>IF(N148="zákl. přenesená",J148,0)</f>
        <v>0</v>
      </c>
      <c r="BH148" s="147">
        <f>IF(N148="sníž. přenesená",J148,0)</f>
        <v>0</v>
      </c>
      <c r="BI148" s="147">
        <f>IF(N148="nulová",J148,0)</f>
        <v>0</v>
      </c>
      <c r="BJ148" s="18" t="s">
        <v>80</v>
      </c>
      <c r="BK148" s="147">
        <f>ROUND(I148*H148,2)</f>
        <v>0</v>
      </c>
      <c r="BL148" s="18" t="s">
        <v>154</v>
      </c>
      <c r="BM148" s="146" t="s">
        <v>621</v>
      </c>
    </row>
    <row r="149" spans="1:47" s="2" customFormat="1" ht="19.5">
      <c r="A149" s="30"/>
      <c r="B149" s="31"/>
      <c r="C149" s="30"/>
      <c r="D149" s="149" t="s">
        <v>170</v>
      </c>
      <c r="E149" s="30"/>
      <c r="F149" s="162" t="s">
        <v>622</v>
      </c>
      <c r="G149" s="30"/>
      <c r="H149" s="30"/>
      <c r="I149" s="30"/>
      <c r="J149" s="30"/>
      <c r="K149" s="30"/>
      <c r="L149" s="31"/>
      <c r="M149" s="163"/>
      <c r="N149" s="164"/>
      <c r="O149" s="51"/>
      <c r="P149" s="51"/>
      <c r="Q149" s="51"/>
      <c r="R149" s="51"/>
      <c r="S149" s="51"/>
      <c r="T149" s="52"/>
      <c r="U149" s="30"/>
      <c r="V149" s="30"/>
      <c r="W149" s="30"/>
      <c r="X149" s="30"/>
      <c r="Y149" s="30"/>
      <c r="Z149" s="30"/>
      <c r="AA149" s="30"/>
      <c r="AB149" s="30"/>
      <c r="AC149" s="30"/>
      <c r="AD149" s="30"/>
      <c r="AE149" s="30"/>
      <c r="AT149" s="18" t="s">
        <v>170</v>
      </c>
      <c r="AU149" s="18" t="s">
        <v>82</v>
      </c>
    </row>
    <row r="150" spans="1:65" s="290" customFormat="1" ht="37.9" customHeight="1">
      <c r="A150" s="291"/>
      <c r="B150" s="135"/>
      <c r="C150" s="136">
        <v>23</v>
      </c>
      <c r="D150" s="136" t="s">
        <v>136</v>
      </c>
      <c r="E150" s="137" t="s">
        <v>908</v>
      </c>
      <c r="F150" s="138" t="s">
        <v>909</v>
      </c>
      <c r="G150" s="139" t="s">
        <v>140</v>
      </c>
      <c r="H150" s="140">
        <v>6</v>
      </c>
      <c r="I150" s="141"/>
      <c r="J150" s="141">
        <f>ROUND(I150*H150,2)</f>
        <v>0</v>
      </c>
      <c r="K150" s="138" t="s">
        <v>141</v>
      </c>
      <c r="L150" s="31"/>
      <c r="M150" s="142" t="s">
        <v>3</v>
      </c>
      <c r="N150" s="292" t="s">
        <v>43</v>
      </c>
      <c r="O150" s="293">
        <v>0.348</v>
      </c>
      <c r="P150" s="293">
        <f>O150*H150</f>
        <v>2.088</v>
      </c>
      <c r="Q150" s="293">
        <v>0</v>
      </c>
      <c r="R150" s="293">
        <f>Q150*H150</f>
        <v>0</v>
      </c>
      <c r="S150" s="293">
        <v>0</v>
      </c>
      <c r="T150" s="145">
        <f>S150*H150</f>
        <v>0</v>
      </c>
      <c r="U150" s="291"/>
      <c r="V150" s="291"/>
      <c r="W150" s="291"/>
      <c r="X150" s="291"/>
      <c r="Y150" s="291"/>
      <c r="Z150" s="291"/>
      <c r="AA150" s="291"/>
      <c r="AB150" s="291"/>
      <c r="AC150" s="291"/>
      <c r="AD150" s="291"/>
      <c r="AE150" s="291"/>
      <c r="AR150" s="294" t="s">
        <v>154</v>
      </c>
      <c r="AT150" s="294" t="s">
        <v>136</v>
      </c>
      <c r="AU150" s="294" t="s">
        <v>82</v>
      </c>
      <c r="AY150" s="295" t="s">
        <v>133</v>
      </c>
      <c r="BE150" s="296">
        <f>IF(N150="základní",J150,0)</f>
        <v>0</v>
      </c>
      <c r="BF150" s="296">
        <f>IF(N150="snížená",J150,0)</f>
        <v>0</v>
      </c>
      <c r="BG150" s="296">
        <f>IF(N150="zákl. přenesená",J150,0)</f>
        <v>0</v>
      </c>
      <c r="BH150" s="296">
        <f>IF(N150="sníž. přenesená",J150,0)</f>
        <v>0</v>
      </c>
      <c r="BI150" s="296">
        <f>IF(N150="nulová",J150,0)</f>
        <v>0</v>
      </c>
      <c r="BJ150" s="295" t="s">
        <v>80</v>
      </c>
      <c r="BK150" s="296">
        <f>ROUND(I150*H150,2)</f>
        <v>0</v>
      </c>
      <c r="BL150" s="295" t="s">
        <v>154</v>
      </c>
      <c r="BM150" s="294" t="s">
        <v>623</v>
      </c>
    </row>
    <row r="151" spans="1:65" s="290" customFormat="1" ht="14.45" customHeight="1">
      <c r="A151" s="291"/>
      <c r="B151" s="135"/>
      <c r="C151" s="172">
        <v>24</v>
      </c>
      <c r="D151" s="172" t="s">
        <v>146</v>
      </c>
      <c r="E151" s="173" t="s">
        <v>910</v>
      </c>
      <c r="F151" s="174" t="s">
        <v>911</v>
      </c>
      <c r="G151" s="175" t="s">
        <v>140</v>
      </c>
      <c r="H151" s="176">
        <f>H150</f>
        <v>6</v>
      </c>
      <c r="I151" s="177"/>
      <c r="J151" s="177">
        <f>ROUND(I151*H151,2)</f>
        <v>0</v>
      </c>
      <c r="K151" s="174" t="s">
        <v>137</v>
      </c>
      <c r="L151" s="178"/>
      <c r="M151" s="179" t="s">
        <v>3</v>
      </c>
      <c r="N151" s="298" t="s">
        <v>43</v>
      </c>
      <c r="O151" s="293">
        <v>0</v>
      </c>
      <c r="P151" s="293">
        <f>O151*H151</f>
        <v>0</v>
      </c>
      <c r="Q151" s="293">
        <v>0.00012</v>
      </c>
      <c r="R151" s="293">
        <f>Q151*H151</f>
        <v>0.00072</v>
      </c>
      <c r="S151" s="293">
        <v>0</v>
      </c>
      <c r="T151" s="145">
        <f>S151*H151</f>
        <v>0</v>
      </c>
      <c r="U151" s="291"/>
      <c r="V151" s="291"/>
      <c r="W151" s="291"/>
      <c r="X151" s="291"/>
      <c r="Y151" s="291"/>
      <c r="Z151" s="291"/>
      <c r="AA151" s="291"/>
      <c r="AB151" s="291"/>
      <c r="AC151" s="291"/>
      <c r="AD151" s="291"/>
      <c r="AE151" s="291"/>
      <c r="AR151" s="294" t="s">
        <v>162</v>
      </c>
      <c r="AT151" s="294" t="s">
        <v>146</v>
      </c>
      <c r="AU151" s="294" t="s">
        <v>82</v>
      </c>
      <c r="AY151" s="295" t="s">
        <v>133</v>
      </c>
      <c r="BE151" s="296">
        <f>IF(N151="základní",J151,0)</f>
        <v>0</v>
      </c>
      <c r="BF151" s="296">
        <f>IF(N151="snížená",J151,0)</f>
        <v>0</v>
      </c>
      <c r="BG151" s="296">
        <f>IF(N151="zákl. přenesená",J151,0)</f>
        <v>0</v>
      </c>
      <c r="BH151" s="296">
        <f>IF(N151="sníž. přenesená",J151,0)</f>
        <v>0</v>
      </c>
      <c r="BI151" s="296">
        <f>IF(N151="nulová",J151,0)</f>
        <v>0</v>
      </c>
      <c r="BJ151" s="295" t="s">
        <v>80</v>
      </c>
      <c r="BK151" s="296">
        <f>ROUND(I151*H151,2)</f>
        <v>0</v>
      </c>
      <c r="BL151" s="295" t="s">
        <v>154</v>
      </c>
      <c r="BM151" s="294" t="s">
        <v>624</v>
      </c>
    </row>
    <row r="152" spans="1:47" s="290" customFormat="1" ht="19.5">
      <c r="A152" s="291"/>
      <c r="B152" s="31"/>
      <c r="C152" s="291"/>
      <c r="D152" s="297" t="s">
        <v>170</v>
      </c>
      <c r="E152" s="291"/>
      <c r="F152" s="299" t="s">
        <v>622</v>
      </c>
      <c r="G152" s="291"/>
      <c r="H152" s="291"/>
      <c r="I152" s="291"/>
      <c r="J152" s="291"/>
      <c r="K152" s="291"/>
      <c r="L152" s="31"/>
      <c r="M152" s="163"/>
      <c r="O152" s="291"/>
      <c r="P152" s="291"/>
      <c r="Q152" s="291"/>
      <c r="R152" s="291"/>
      <c r="S152" s="291"/>
      <c r="T152" s="52"/>
      <c r="U152" s="291"/>
      <c r="V152" s="291"/>
      <c r="W152" s="291"/>
      <c r="X152" s="291"/>
      <c r="Y152" s="291"/>
      <c r="Z152" s="291"/>
      <c r="AA152" s="291"/>
      <c r="AB152" s="291"/>
      <c r="AC152" s="291"/>
      <c r="AD152" s="291"/>
      <c r="AE152" s="291"/>
      <c r="AT152" s="295" t="s">
        <v>170</v>
      </c>
      <c r="AU152" s="295" t="s">
        <v>82</v>
      </c>
    </row>
    <row r="153" spans="1:65" s="2" customFormat="1" ht="37.9" customHeight="1">
      <c r="A153" s="30"/>
      <c r="B153" s="135"/>
      <c r="C153" s="136">
        <v>25</v>
      </c>
      <c r="D153" s="136" t="s">
        <v>136</v>
      </c>
      <c r="E153" s="137" t="s">
        <v>625</v>
      </c>
      <c r="F153" s="138" t="s">
        <v>626</v>
      </c>
      <c r="G153" s="139" t="s">
        <v>140</v>
      </c>
      <c r="H153" s="140">
        <v>32</v>
      </c>
      <c r="I153" s="141"/>
      <c r="J153" s="141">
        <f>ROUND(I153*H153,2)</f>
        <v>0</v>
      </c>
      <c r="K153" s="138" t="s">
        <v>141</v>
      </c>
      <c r="L153" s="31"/>
      <c r="M153" s="142" t="s">
        <v>3</v>
      </c>
      <c r="N153" s="143" t="s">
        <v>43</v>
      </c>
      <c r="O153" s="144">
        <v>0.287</v>
      </c>
      <c r="P153" s="144">
        <f>O153*H153</f>
        <v>9.184</v>
      </c>
      <c r="Q153" s="144">
        <v>0</v>
      </c>
      <c r="R153" s="144">
        <f>Q153*H153</f>
        <v>0</v>
      </c>
      <c r="S153" s="144">
        <v>0</v>
      </c>
      <c r="T153" s="145">
        <f>S153*H153</f>
        <v>0</v>
      </c>
      <c r="U153" s="30"/>
      <c r="V153" s="30"/>
      <c r="W153" s="30"/>
      <c r="X153" s="30"/>
      <c r="Y153" s="30"/>
      <c r="Z153" s="30"/>
      <c r="AA153" s="30"/>
      <c r="AB153" s="30"/>
      <c r="AC153" s="30"/>
      <c r="AD153" s="30"/>
      <c r="AE153" s="30"/>
      <c r="AR153" s="146" t="s">
        <v>154</v>
      </c>
      <c r="AT153" s="146" t="s">
        <v>136</v>
      </c>
      <c r="AU153" s="146" t="s">
        <v>82</v>
      </c>
      <c r="AY153" s="18" t="s">
        <v>133</v>
      </c>
      <c r="BE153" s="147">
        <f>IF(N153="základní",J153,0)</f>
        <v>0</v>
      </c>
      <c r="BF153" s="147">
        <f>IF(N153="snížená",J153,0)</f>
        <v>0</v>
      </c>
      <c r="BG153" s="147">
        <f>IF(N153="zákl. přenesená",J153,0)</f>
        <v>0</v>
      </c>
      <c r="BH153" s="147">
        <f>IF(N153="sníž. přenesená",J153,0)</f>
        <v>0</v>
      </c>
      <c r="BI153" s="147">
        <f>IF(N153="nulová",J153,0)</f>
        <v>0</v>
      </c>
      <c r="BJ153" s="18" t="s">
        <v>80</v>
      </c>
      <c r="BK153" s="147">
        <f>ROUND(I153*H153,2)</f>
        <v>0</v>
      </c>
      <c r="BL153" s="18" t="s">
        <v>154</v>
      </c>
      <c r="BM153" s="146" t="s">
        <v>627</v>
      </c>
    </row>
    <row r="154" spans="1:65" s="2" customFormat="1" ht="14.45" customHeight="1">
      <c r="A154" s="30"/>
      <c r="B154" s="135"/>
      <c r="C154" s="172">
        <v>26</v>
      </c>
      <c r="D154" s="172" t="s">
        <v>146</v>
      </c>
      <c r="E154" s="173" t="s">
        <v>628</v>
      </c>
      <c r="F154" s="174" t="s">
        <v>629</v>
      </c>
      <c r="G154" s="175" t="s">
        <v>140</v>
      </c>
      <c r="H154" s="176">
        <f>H153</f>
        <v>32</v>
      </c>
      <c r="I154" s="177"/>
      <c r="J154" s="177">
        <f>ROUND(I154*H154,2)</f>
        <v>0</v>
      </c>
      <c r="K154" s="174" t="s">
        <v>141</v>
      </c>
      <c r="L154" s="178"/>
      <c r="M154" s="179" t="s">
        <v>3</v>
      </c>
      <c r="N154" s="180" t="s">
        <v>43</v>
      </c>
      <c r="O154" s="144">
        <v>0</v>
      </c>
      <c r="P154" s="144">
        <f>O154*H154</f>
        <v>0</v>
      </c>
      <c r="Q154" s="144">
        <v>6E-05</v>
      </c>
      <c r="R154" s="144">
        <f>Q154*H154</f>
        <v>0.00192</v>
      </c>
      <c r="S154" s="144">
        <v>0</v>
      </c>
      <c r="T154" s="145">
        <f>S154*H154</f>
        <v>0</v>
      </c>
      <c r="U154" s="30"/>
      <c r="V154" s="30"/>
      <c r="W154" s="30"/>
      <c r="X154" s="30"/>
      <c r="Y154" s="30"/>
      <c r="Z154" s="30"/>
      <c r="AA154" s="30"/>
      <c r="AB154" s="30"/>
      <c r="AC154" s="30"/>
      <c r="AD154" s="30"/>
      <c r="AE154" s="30"/>
      <c r="AR154" s="146" t="s">
        <v>162</v>
      </c>
      <c r="AT154" s="146" t="s">
        <v>146</v>
      </c>
      <c r="AU154" s="146" t="s">
        <v>82</v>
      </c>
      <c r="AY154" s="18" t="s">
        <v>133</v>
      </c>
      <c r="BE154" s="147">
        <f>IF(N154="základní",J154,0)</f>
        <v>0</v>
      </c>
      <c r="BF154" s="147">
        <f>IF(N154="snížená",J154,0)</f>
        <v>0</v>
      </c>
      <c r="BG154" s="147">
        <f>IF(N154="zákl. přenesená",J154,0)</f>
        <v>0</v>
      </c>
      <c r="BH154" s="147">
        <f>IF(N154="sníž. přenesená",J154,0)</f>
        <v>0</v>
      </c>
      <c r="BI154" s="147">
        <f>IF(N154="nulová",J154,0)</f>
        <v>0</v>
      </c>
      <c r="BJ154" s="18" t="s">
        <v>80</v>
      </c>
      <c r="BK154" s="147">
        <f>ROUND(I154*H154,2)</f>
        <v>0</v>
      </c>
      <c r="BL154" s="18" t="s">
        <v>154</v>
      </c>
      <c r="BM154" s="146" t="s">
        <v>630</v>
      </c>
    </row>
    <row r="155" spans="1:47" s="2" customFormat="1" ht="19.5">
      <c r="A155" s="30"/>
      <c r="B155" s="31"/>
      <c r="C155" s="30"/>
      <c r="D155" s="149" t="s">
        <v>170</v>
      </c>
      <c r="E155" s="30"/>
      <c r="F155" s="162" t="s">
        <v>622</v>
      </c>
      <c r="G155" s="30"/>
      <c r="H155" s="30"/>
      <c r="I155" s="30"/>
      <c r="J155" s="30"/>
      <c r="K155" s="30"/>
      <c r="L155" s="31"/>
      <c r="M155" s="163"/>
      <c r="N155" s="164"/>
      <c r="O155" s="51"/>
      <c r="P155" s="51"/>
      <c r="Q155" s="51"/>
      <c r="R155" s="51"/>
      <c r="S155" s="51"/>
      <c r="T155" s="52"/>
      <c r="U155" s="30"/>
      <c r="V155" s="30"/>
      <c r="W155" s="30"/>
      <c r="X155" s="30"/>
      <c r="Y155" s="30"/>
      <c r="Z155" s="30"/>
      <c r="AA155" s="30"/>
      <c r="AB155" s="30"/>
      <c r="AC155" s="30"/>
      <c r="AD155" s="30"/>
      <c r="AE155" s="30"/>
      <c r="AT155" s="18" t="s">
        <v>170</v>
      </c>
      <c r="AU155" s="18" t="s">
        <v>82</v>
      </c>
    </row>
    <row r="156" spans="1:65" s="2" customFormat="1" ht="37.9" customHeight="1">
      <c r="A156" s="30"/>
      <c r="B156" s="135"/>
      <c r="C156" s="136">
        <v>27</v>
      </c>
      <c r="D156" s="136" t="s">
        <v>136</v>
      </c>
      <c r="E156" s="137" t="s">
        <v>631</v>
      </c>
      <c r="F156" s="138" t="s">
        <v>632</v>
      </c>
      <c r="G156" s="139" t="s">
        <v>140</v>
      </c>
      <c r="H156" s="140">
        <v>10</v>
      </c>
      <c r="I156" s="141"/>
      <c r="J156" s="141">
        <f>ROUND(I156*H156,2)</f>
        <v>0</v>
      </c>
      <c r="K156" s="138" t="s">
        <v>141</v>
      </c>
      <c r="L156" s="31"/>
      <c r="M156" s="142" t="s">
        <v>3</v>
      </c>
      <c r="N156" s="143" t="s">
        <v>43</v>
      </c>
      <c r="O156" s="144">
        <v>0.612</v>
      </c>
      <c r="P156" s="144">
        <f>O156*H156</f>
        <v>6.12</v>
      </c>
      <c r="Q156" s="144">
        <v>0</v>
      </c>
      <c r="R156" s="144">
        <f>Q156*H156</f>
        <v>0</v>
      </c>
      <c r="S156" s="144">
        <v>0</v>
      </c>
      <c r="T156" s="145">
        <f>S156*H156</f>
        <v>0</v>
      </c>
      <c r="U156" s="30"/>
      <c r="V156" s="30"/>
      <c r="W156" s="30"/>
      <c r="X156" s="30"/>
      <c r="Y156" s="30"/>
      <c r="Z156" s="30"/>
      <c r="AA156" s="30"/>
      <c r="AB156" s="30"/>
      <c r="AC156" s="30"/>
      <c r="AD156" s="30"/>
      <c r="AE156" s="30"/>
      <c r="AR156" s="146" t="s">
        <v>154</v>
      </c>
      <c r="AT156" s="146" t="s">
        <v>136</v>
      </c>
      <c r="AU156" s="146" t="s">
        <v>82</v>
      </c>
      <c r="AY156" s="18" t="s">
        <v>133</v>
      </c>
      <c r="BE156" s="147">
        <f>IF(N156="základní",J156,0)</f>
        <v>0</v>
      </c>
      <c r="BF156" s="147">
        <f>IF(N156="snížená",J156,0)</f>
        <v>0</v>
      </c>
      <c r="BG156" s="147">
        <f>IF(N156="zákl. přenesená",J156,0)</f>
        <v>0</v>
      </c>
      <c r="BH156" s="147">
        <f>IF(N156="sníž. přenesená",J156,0)</f>
        <v>0</v>
      </c>
      <c r="BI156" s="147">
        <f>IF(N156="nulová",J156,0)</f>
        <v>0</v>
      </c>
      <c r="BJ156" s="18" t="s">
        <v>80</v>
      </c>
      <c r="BK156" s="147">
        <f>ROUND(I156*H156,2)</f>
        <v>0</v>
      </c>
      <c r="BL156" s="18" t="s">
        <v>154</v>
      </c>
      <c r="BM156" s="146" t="s">
        <v>633</v>
      </c>
    </row>
    <row r="157" spans="1:65" s="2" customFormat="1" ht="14.45" customHeight="1">
      <c r="A157" s="30"/>
      <c r="B157" s="135"/>
      <c r="C157" s="172">
        <v>28</v>
      </c>
      <c r="D157" s="172" t="s">
        <v>146</v>
      </c>
      <c r="E157" s="173" t="s">
        <v>634</v>
      </c>
      <c r="F157" s="174" t="s">
        <v>635</v>
      </c>
      <c r="G157" s="175" t="s">
        <v>140</v>
      </c>
      <c r="H157" s="176">
        <f>H156</f>
        <v>10</v>
      </c>
      <c r="I157" s="272"/>
      <c r="J157" s="177">
        <f>ROUND(I157*H157,2)</f>
        <v>0</v>
      </c>
      <c r="K157" s="174" t="s">
        <v>137</v>
      </c>
      <c r="L157" s="178"/>
      <c r="M157" s="179" t="s">
        <v>3</v>
      </c>
      <c r="N157" s="180" t="s">
        <v>43</v>
      </c>
      <c r="O157" s="144">
        <v>0</v>
      </c>
      <c r="P157" s="144">
        <f>O157*H157</f>
        <v>0</v>
      </c>
      <c r="Q157" s="144">
        <v>0</v>
      </c>
      <c r="R157" s="144">
        <f>Q157*H157</f>
        <v>0</v>
      </c>
      <c r="S157" s="144">
        <v>0</v>
      </c>
      <c r="T157" s="145">
        <f>S157*H157</f>
        <v>0</v>
      </c>
      <c r="U157" s="30"/>
      <c r="V157" s="267"/>
      <c r="W157" s="267"/>
      <c r="X157" s="30"/>
      <c r="Y157" s="30"/>
      <c r="Z157" s="30"/>
      <c r="AA157" s="30"/>
      <c r="AB157" s="30"/>
      <c r="AC157" s="30"/>
      <c r="AD157" s="30"/>
      <c r="AE157" s="30"/>
      <c r="AR157" s="146" t="s">
        <v>162</v>
      </c>
      <c r="AT157" s="146" t="s">
        <v>146</v>
      </c>
      <c r="AU157" s="146" t="s">
        <v>82</v>
      </c>
      <c r="AY157" s="18" t="s">
        <v>133</v>
      </c>
      <c r="BE157" s="147">
        <f>IF(N157="základní",J157,0)</f>
        <v>0</v>
      </c>
      <c r="BF157" s="147">
        <f>IF(N157="snížená",J157,0)</f>
        <v>0</v>
      </c>
      <c r="BG157" s="147">
        <f>IF(N157="zákl. přenesená",J157,0)</f>
        <v>0</v>
      </c>
      <c r="BH157" s="147">
        <f>IF(N157="sníž. přenesená",J157,0)</f>
        <v>0</v>
      </c>
      <c r="BI157" s="147">
        <f>IF(N157="nulová",J157,0)</f>
        <v>0</v>
      </c>
      <c r="BJ157" s="18" t="s">
        <v>80</v>
      </c>
      <c r="BK157" s="147">
        <f>ROUND(I157*H157,2)</f>
        <v>0</v>
      </c>
      <c r="BL157" s="18" t="s">
        <v>154</v>
      </c>
      <c r="BM157" s="146" t="s">
        <v>636</v>
      </c>
    </row>
    <row r="158" spans="1:65" s="2" customFormat="1" ht="37.9" customHeight="1">
      <c r="A158" s="30"/>
      <c r="B158" s="135"/>
      <c r="C158" s="136">
        <v>29</v>
      </c>
      <c r="D158" s="136" t="s">
        <v>136</v>
      </c>
      <c r="E158" s="137" t="s">
        <v>637</v>
      </c>
      <c r="F158" s="138" t="s">
        <v>638</v>
      </c>
      <c r="G158" s="139" t="s">
        <v>140</v>
      </c>
      <c r="H158" s="140">
        <v>2</v>
      </c>
      <c r="I158" s="269"/>
      <c r="J158" s="141">
        <f>ROUND(I158*H158,2)</f>
        <v>0</v>
      </c>
      <c r="K158" s="138" t="s">
        <v>141</v>
      </c>
      <c r="L158" s="31"/>
      <c r="M158" s="142" t="s">
        <v>3</v>
      </c>
      <c r="N158" s="143" t="s">
        <v>43</v>
      </c>
      <c r="O158" s="144">
        <v>0.512</v>
      </c>
      <c r="P158" s="144">
        <f>O158*H158</f>
        <v>1.024</v>
      </c>
      <c r="Q158" s="144">
        <v>0</v>
      </c>
      <c r="R158" s="144">
        <f>Q158*H158</f>
        <v>0</v>
      </c>
      <c r="S158" s="144">
        <v>0</v>
      </c>
      <c r="T158" s="145">
        <f>S158*H158</f>
        <v>0</v>
      </c>
      <c r="U158" s="30"/>
      <c r="V158" s="30"/>
      <c r="W158" s="30"/>
      <c r="X158" s="30"/>
      <c r="Y158" s="30"/>
      <c r="Z158" s="30"/>
      <c r="AA158" s="30"/>
      <c r="AB158" s="30"/>
      <c r="AC158" s="30"/>
      <c r="AD158" s="30"/>
      <c r="AE158" s="30"/>
      <c r="AR158" s="146" t="s">
        <v>154</v>
      </c>
      <c r="AT158" s="146" t="s">
        <v>136</v>
      </c>
      <c r="AU158" s="146" t="s">
        <v>82</v>
      </c>
      <c r="AY158" s="18" t="s">
        <v>133</v>
      </c>
      <c r="BE158" s="147">
        <f>IF(N158="základní",J158,0)</f>
        <v>0</v>
      </c>
      <c r="BF158" s="147">
        <f>IF(N158="snížená",J158,0)</f>
        <v>0</v>
      </c>
      <c r="BG158" s="147">
        <f>IF(N158="zákl. přenesená",J158,0)</f>
        <v>0</v>
      </c>
      <c r="BH158" s="147">
        <f>IF(N158="sníž. přenesená",J158,0)</f>
        <v>0</v>
      </c>
      <c r="BI158" s="147">
        <f>IF(N158="nulová",J158,0)</f>
        <v>0</v>
      </c>
      <c r="BJ158" s="18" t="s">
        <v>80</v>
      </c>
      <c r="BK158" s="147">
        <f>ROUND(I158*H158,2)</f>
        <v>0</v>
      </c>
      <c r="BL158" s="18" t="s">
        <v>154</v>
      </c>
      <c r="BM158" s="146" t="s">
        <v>639</v>
      </c>
    </row>
    <row r="159" spans="1:65" s="2" customFormat="1" ht="14.45" customHeight="1">
      <c r="A159" s="30"/>
      <c r="B159" s="135"/>
      <c r="C159" s="172">
        <v>30</v>
      </c>
      <c r="D159" s="172" t="s">
        <v>146</v>
      </c>
      <c r="E159" s="173" t="s">
        <v>640</v>
      </c>
      <c r="F159" s="174" t="s">
        <v>891</v>
      </c>
      <c r="G159" s="175" t="s">
        <v>140</v>
      </c>
      <c r="H159" s="176">
        <f>H158</f>
        <v>2</v>
      </c>
      <c r="I159" s="272"/>
      <c r="J159" s="177">
        <f>ROUND(I159*H159,2)</f>
        <v>0</v>
      </c>
      <c r="K159" s="174" t="s">
        <v>137</v>
      </c>
      <c r="L159" s="178"/>
      <c r="M159" s="179" t="s">
        <v>3</v>
      </c>
      <c r="N159" s="180" t="s">
        <v>43</v>
      </c>
      <c r="O159" s="144">
        <v>0</v>
      </c>
      <c r="P159" s="144">
        <f>O159*H159</f>
        <v>0</v>
      </c>
      <c r="Q159" s="144">
        <v>0</v>
      </c>
      <c r="R159" s="144">
        <f>Q159*H159</f>
        <v>0</v>
      </c>
      <c r="S159" s="144">
        <v>0</v>
      </c>
      <c r="T159" s="145">
        <f>S159*H159</f>
        <v>0</v>
      </c>
      <c r="U159" s="30"/>
      <c r="V159" s="267"/>
      <c r="W159" s="267"/>
      <c r="X159" s="30"/>
      <c r="Y159" s="30"/>
      <c r="Z159" s="30"/>
      <c r="AA159" s="30"/>
      <c r="AB159" s="30"/>
      <c r="AC159" s="30"/>
      <c r="AD159" s="30"/>
      <c r="AE159" s="30"/>
      <c r="AR159" s="146" t="s">
        <v>162</v>
      </c>
      <c r="AT159" s="146" t="s">
        <v>146</v>
      </c>
      <c r="AU159" s="146" t="s">
        <v>82</v>
      </c>
      <c r="AY159" s="18" t="s">
        <v>133</v>
      </c>
      <c r="BE159" s="147">
        <f>IF(N159="základní",J159,0)</f>
        <v>0</v>
      </c>
      <c r="BF159" s="147">
        <f>IF(N159="snížená",J159,0)</f>
        <v>0</v>
      </c>
      <c r="BG159" s="147">
        <f>IF(N159="zákl. přenesená",J159,0)</f>
        <v>0</v>
      </c>
      <c r="BH159" s="147">
        <f>IF(N159="sníž. přenesená",J159,0)</f>
        <v>0</v>
      </c>
      <c r="BI159" s="147">
        <f>IF(N159="nulová",J159,0)</f>
        <v>0</v>
      </c>
      <c r="BJ159" s="18" t="s">
        <v>80</v>
      </c>
      <c r="BK159" s="147">
        <f>ROUND(I159*H159,2)</f>
        <v>0</v>
      </c>
      <c r="BL159" s="18" t="s">
        <v>154</v>
      </c>
      <c r="BM159" s="146" t="s">
        <v>641</v>
      </c>
    </row>
    <row r="160" spans="1:65" s="2" customFormat="1" ht="37.9" customHeight="1">
      <c r="A160" s="30"/>
      <c r="B160" s="135"/>
      <c r="C160" s="136">
        <v>31</v>
      </c>
      <c r="D160" s="136" t="s">
        <v>136</v>
      </c>
      <c r="E160" s="137" t="s">
        <v>642</v>
      </c>
      <c r="F160" s="138" t="s">
        <v>912</v>
      </c>
      <c r="G160" s="139" t="s">
        <v>404</v>
      </c>
      <c r="H160" s="140">
        <v>1</v>
      </c>
      <c r="I160" s="269"/>
      <c r="J160" s="141">
        <f>ROUND(I160*H160,2)</f>
        <v>0</v>
      </c>
      <c r="K160" s="138" t="s">
        <v>137</v>
      </c>
      <c r="L160" s="31"/>
      <c r="M160" s="142" t="s">
        <v>3</v>
      </c>
      <c r="N160" s="143" t="s">
        <v>43</v>
      </c>
      <c r="O160" s="144">
        <v>0</v>
      </c>
      <c r="P160" s="144">
        <f>O160*H160</f>
        <v>0</v>
      </c>
      <c r="Q160" s="144">
        <v>0</v>
      </c>
      <c r="R160" s="144">
        <f>Q160*H160</f>
        <v>0</v>
      </c>
      <c r="S160" s="144">
        <v>0</v>
      </c>
      <c r="T160" s="145">
        <f>S160*H160</f>
        <v>0</v>
      </c>
      <c r="U160" s="30"/>
      <c r="V160" s="30"/>
      <c r="W160" s="30"/>
      <c r="X160" s="30"/>
      <c r="Y160" s="30"/>
      <c r="Z160" s="30"/>
      <c r="AA160" s="30"/>
      <c r="AB160" s="30"/>
      <c r="AC160" s="30"/>
      <c r="AD160" s="30"/>
      <c r="AE160" s="30"/>
      <c r="AR160" s="146" t="s">
        <v>154</v>
      </c>
      <c r="AT160" s="146" t="s">
        <v>136</v>
      </c>
      <c r="AU160" s="146" t="s">
        <v>82</v>
      </c>
      <c r="AY160" s="18" t="s">
        <v>133</v>
      </c>
      <c r="BE160" s="147">
        <f>IF(N160="základní",J160,0)</f>
        <v>0</v>
      </c>
      <c r="BF160" s="147">
        <f>IF(N160="snížená",J160,0)</f>
        <v>0</v>
      </c>
      <c r="BG160" s="147">
        <f>IF(N160="zákl. přenesená",J160,0)</f>
        <v>0</v>
      </c>
      <c r="BH160" s="147">
        <f>IF(N160="sníž. přenesená",J160,0)</f>
        <v>0</v>
      </c>
      <c r="BI160" s="147">
        <f>IF(N160="nulová",J160,0)</f>
        <v>0</v>
      </c>
      <c r="BJ160" s="18" t="s">
        <v>80</v>
      </c>
      <c r="BK160" s="147">
        <f>ROUND(I160*H160,2)</f>
        <v>0</v>
      </c>
      <c r="BL160" s="18" t="s">
        <v>154</v>
      </c>
      <c r="BM160" s="146" t="s">
        <v>643</v>
      </c>
    </row>
    <row r="161" spans="2:51" s="14" customFormat="1" ht="12">
      <c r="B161" s="155"/>
      <c r="D161" s="149" t="s">
        <v>139</v>
      </c>
      <c r="E161" s="156" t="s">
        <v>3</v>
      </c>
      <c r="F161" s="157" t="s">
        <v>80</v>
      </c>
      <c r="H161" s="158">
        <v>1</v>
      </c>
      <c r="L161" s="155"/>
      <c r="M161" s="159"/>
      <c r="N161" s="160"/>
      <c r="O161" s="160"/>
      <c r="P161" s="160"/>
      <c r="Q161" s="160"/>
      <c r="R161" s="160"/>
      <c r="S161" s="160"/>
      <c r="T161" s="161"/>
      <c r="AT161" s="156" t="s">
        <v>139</v>
      </c>
      <c r="AU161" s="156" t="s">
        <v>82</v>
      </c>
      <c r="AV161" s="14" t="s">
        <v>82</v>
      </c>
      <c r="AW161" s="14" t="s">
        <v>34</v>
      </c>
      <c r="AX161" s="14" t="s">
        <v>80</v>
      </c>
      <c r="AY161" s="156" t="s">
        <v>133</v>
      </c>
    </row>
    <row r="162" spans="1:65" s="2" customFormat="1" ht="37.9" customHeight="1">
      <c r="A162" s="30"/>
      <c r="B162" s="135"/>
      <c r="C162" s="136">
        <v>32</v>
      </c>
      <c r="D162" s="136" t="s">
        <v>136</v>
      </c>
      <c r="E162" s="137" t="s">
        <v>644</v>
      </c>
      <c r="F162" s="138" t="s">
        <v>645</v>
      </c>
      <c r="G162" s="139" t="s">
        <v>140</v>
      </c>
      <c r="H162" s="140">
        <v>1</v>
      </c>
      <c r="I162" s="141"/>
      <c r="J162" s="141">
        <f>ROUND(I162*H162,2)</f>
        <v>0</v>
      </c>
      <c r="K162" s="138" t="s">
        <v>141</v>
      </c>
      <c r="L162" s="31"/>
      <c r="M162" s="142" t="s">
        <v>3</v>
      </c>
      <c r="N162" s="143" t="s">
        <v>43</v>
      </c>
      <c r="O162" s="144">
        <v>12.398</v>
      </c>
      <c r="P162" s="144">
        <f>O162*H162</f>
        <v>12.398</v>
      </c>
      <c r="Q162" s="144">
        <v>0</v>
      </c>
      <c r="R162" s="144">
        <f>Q162*H162</f>
        <v>0</v>
      </c>
      <c r="S162" s="144">
        <v>0</v>
      </c>
      <c r="T162" s="145">
        <f>S162*H162</f>
        <v>0</v>
      </c>
      <c r="U162" s="30"/>
      <c r="V162" s="30"/>
      <c r="W162" s="30"/>
      <c r="X162" s="30"/>
      <c r="Y162" s="30"/>
      <c r="Z162" s="30"/>
      <c r="AA162" s="30"/>
      <c r="AB162" s="30"/>
      <c r="AC162" s="30"/>
      <c r="AD162" s="30"/>
      <c r="AE162" s="30"/>
      <c r="AR162" s="146" t="s">
        <v>154</v>
      </c>
      <c r="AT162" s="146" t="s">
        <v>136</v>
      </c>
      <c r="AU162" s="146" t="s">
        <v>82</v>
      </c>
      <c r="AY162" s="18" t="s">
        <v>133</v>
      </c>
      <c r="BE162" s="147">
        <f>IF(N162="základní",J162,0)</f>
        <v>0</v>
      </c>
      <c r="BF162" s="147">
        <f>IF(N162="snížená",J162,0)</f>
        <v>0</v>
      </c>
      <c r="BG162" s="147">
        <f>IF(N162="zákl. přenesená",J162,0)</f>
        <v>0</v>
      </c>
      <c r="BH162" s="147">
        <f>IF(N162="sníž. přenesená",J162,0)</f>
        <v>0</v>
      </c>
      <c r="BI162" s="147">
        <f>IF(N162="nulová",J162,0)</f>
        <v>0</v>
      </c>
      <c r="BJ162" s="18" t="s">
        <v>80</v>
      </c>
      <c r="BK162" s="147">
        <f>ROUND(I162*H162,2)</f>
        <v>0</v>
      </c>
      <c r="BL162" s="18" t="s">
        <v>154</v>
      </c>
      <c r="BM162" s="146" t="s">
        <v>646</v>
      </c>
    </row>
    <row r="163" spans="1:47" s="2" customFormat="1" ht="39">
      <c r="A163" s="30"/>
      <c r="B163" s="31"/>
      <c r="C163" s="30"/>
      <c r="D163" s="149" t="s">
        <v>142</v>
      </c>
      <c r="E163" s="30"/>
      <c r="F163" s="162" t="s">
        <v>647</v>
      </c>
      <c r="G163" s="30"/>
      <c r="H163" s="30"/>
      <c r="I163" s="30"/>
      <c r="J163" s="30"/>
      <c r="K163" s="30"/>
      <c r="L163" s="31"/>
      <c r="M163" s="163"/>
      <c r="N163" s="164"/>
      <c r="O163" s="51"/>
      <c r="P163" s="51"/>
      <c r="Q163" s="51"/>
      <c r="R163" s="51"/>
      <c r="S163" s="51"/>
      <c r="T163" s="52"/>
      <c r="U163" s="30"/>
      <c r="V163" s="30"/>
      <c r="W163" s="30"/>
      <c r="X163" s="30"/>
      <c r="Y163" s="30"/>
      <c r="Z163" s="30"/>
      <c r="AA163" s="30"/>
      <c r="AB163" s="30"/>
      <c r="AC163" s="30"/>
      <c r="AD163" s="30"/>
      <c r="AE163" s="30"/>
      <c r="AT163" s="18" t="s">
        <v>142</v>
      </c>
      <c r="AU163" s="18" t="s">
        <v>82</v>
      </c>
    </row>
    <row r="164" spans="1:65" s="2" customFormat="1" ht="37.9" customHeight="1">
      <c r="A164" s="30"/>
      <c r="B164" s="135"/>
      <c r="C164" s="136">
        <v>33</v>
      </c>
      <c r="D164" s="136" t="s">
        <v>136</v>
      </c>
      <c r="E164" s="137" t="s">
        <v>648</v>
      </c>
      <c r="F164" s="138" t="s">
        <v>649</v>
      </c>
      <c r="G164" s="139" t="s">
        <v>229</v>
      </c>
      <c r="H164" s="140">
        <f>SUM(J129:J162)/100</f>
        <v>0</v>
      </c>
      <c r="I164" s="141"/>
      <c r="J164" s="141">
        <f>ROUND(I164*H164,2)</f>
        <v>0</v>
      </c>
      <c r="K164" s="138" t="s">
        <v>141</v>
      </c>
      <c r="L164" s="31"/>
      <c r="M164" s="142" t="s">
        <v>3</v>
      </c>
      <c r="N164" s="143" t="s">
        <v>43</v>
      </c>
      <c r="O164" s="144">
        <v>0</v>
      </c>
      <c r="P164" s="144">
        <f>O164*H164</f>
        <v>0</v>
      </c>
      <c r="Q164" s="144">
        <v>0</v>
      </c>
      <c r="R164" s="144">
        <f>Q164*H164</f>
        <v>0</v>
      </c>
      <c r="S164" s="144">
        <v>0</v>
      </c>
      <c r="T164" s="145">
        <f>S164*H164</f>
        <v>0</v>
      </c>
      <c r="U164" s="30"/>
      <c r="V164" s="30"/>
      <c r="W164" s="30"/>
      <c r="X164" s="30"/>
      <c r="Y164" s="30"/>
      <c r="Z164" s="30"/>
      <c r="AA164" s="30"/>
      <c r="AB164" s="30"/>
      <c r="AC164" s="30"/>
      <c r="AD164" s="30"/>
      <c r="AE164" s="30"/>
      <c r="AR164" s="146" t="s">
        <v>154</v>
      </c>
      <c r="AT164" s="146" t="s">
        <v>136</v>
      </c>
      <c r="AU164" s="146" t="s">
        <v>82</v>
      </c>
      <c r="AY164" s="18" t="s">
        <v>133</v>
      </c>
      <c r="BE164" s="147">
        <f>IF(N164="základní",J164,0)</f>
        <v>0</v>
      </c>
      <c r="BF164" s="147">
        <f>IF(N164="snížená",J164,0)</f>
        <v>0</v>
      </c>
      <c r="BG164" s="147">
        <f>IF(N164="zákl. přenesená",J164,0)</f>
        <v>0</v>
      </c>
      <c r="BH164" s="147">
        <f>IF(N164="sníž. přenesená",J164,0)</f>
        <v>0</v>
      </c>
      <c r="BI164" s="147">
        <f>IF(N164="nulová",J164,0)</f>
        <v>0</v>
      </c>
      <c r="BJ164" s="18" t="s">
        <v>80</v>
      </c>
      <c r="BK164" s="147">
        <f>ROUND(I164*H164,2)</f>
        <v>0</v>
      </c>
      <c r="BL164" s="18" t="s">
        <v>154</v>
      </c>
      <c r="BM164" s="146" t="s">
        <v>650</v>
      </c>
    </row>
    <row r="165" spans="1:47" s="2" customFormat="1" ht="126.75">
      <c r="A165" s="30"/>
      <c r="B165" s="31"/>
      <c r="C165" s="30"/>
      <c r="D165" s="149" t="s">
        <v>142</v>
      </c>
      <c r="E165" s="30"/>
      <c r="F165" s="162" t="s">
        <v>261</v>
      </c>
      <c r="G165" s="30"/>
      <c r="H165" s="30"/>
      <c r="I165" s="30"/>
      <c r="J165" s="30"/>
      <c r="K165" s="30"/>
      <c r="L165" s="31"/>
      <c r="M165" s="163"/>
      <c r="N165" s="164"/>
      <c r="O165" s="51"/>
      <c r="P165" s="51"/>
      <c r="Q165" s="51"/>
      <c r="R165" s="51"/>
      <c r="S165" s="51"/>
      <c r="T165" s="52"/>
      <c r="U165" s="30"/>
      <c r="V165" s="30"/>
      <c r="W165" s="30"/>
      <c r="X165" s="30"/>
      <c r="Y165" s="30"/>
      <c r="Z165" s="30"/>
      <c r="AA165" s="30"/>
      <c r="AB165" s="30"/>
      <c r="AC165" s="30"/>
      <c r="AD165" s="30"/>
      <c r="AE165" s="30"/>
      <c r="AT165" s="18" t="s">
        <v>142</v>
      </c>
      <c r="AU165" s="18" t="s">
        <v>82</v>
      </c>
    </row>
    <row r="166" spans="1:65" s="2" customFormat="1" ht="49.15" customHeight="1">
      <c r="A166" s="30"/>
      <c r="B166" s="135"/>
      <c r="C166" s="136">
        <v>34</v>
      </c>
      <c r="D166" s="136" t="s">
        <v>136</v>
      </c>
      <c r="E166" s="137" t="s">
        <v>651</v>
      </c>
      <c r="F166" s="138" t="s">
        <v>652</v>
      </c>
      <c r="G166" s="139" t="s">
        <v>229</v>
      </c>
      <c r="H166" s="140">
        <f>H164</f>
        <v>0</v>
      </c>
      <c r="I166" s="141"/>
      <c r="J166" s="141">
        <f>ROUND(I166*H166,2)</f>
        <v>0</v>
      </c>
      <c r="K166" s="138" t="s">
        <v>141</v>
      </c>
      <c r="L166" s="31"/>
      <c r="M166" s="142" t="s">
        <v>3</v>
      </c>
      <c r="N166" s="143" t="s">
        <v>43</v>
      </c>
      <c r="O166" s="144">
        <v>0</v>
      </c>
      <c r="P166" s="144">
        <f>O166*H166</f>
        <v>0</v>
      </c>
      <c r="Q166" s="144">
        <v>0</v>
      </c>
      <c r="R166" s="144">
        <f>Q166*H166</f>
        <v>0</v>
      </c>
      <c r="S166" s="144">
        <v>0</v>
      </c>
      <c r="T166" s="145">
        <f>S166*H166</f>
        <v>0</v>
      </c>
      <c r="U166" s="30"/>
      <c r="V166" s="30"/>
      <c r="W166" s="30"/>
      <c r="X166" s="30"/>
      <c r="Y166" s="30"/>
      <c r="Z166" s="30"/>
      <c r="AA166" s="30"/>
      <c r="AB166" s="30"/>
      <c r="AC166" s="30"/>
      <c r="AD166" s="30"/>
      <c r="AE166" s="30"/>
      <c r="AR166" s="146" t="s">
        <v>154</v>
      </c>
      <c r="AT166" s="146" t="s">
        <v>136</v>
      </c>
      <c r="AU166" s="146" t="s">
        <v>82</v>
      </c>
      <c r="AY166" s="18" t="s">
        <v>133</v>
      </c>
      <c r="BE166" s="147">
        <f>IF(N166="základní",J166,0)</f>
        <v>0</v>
      </c>
      <c r="BF166" s="147">
        <f>IF(N166="snížená",J166,0)</f>
        <v>0</v>
      </c>
      <c r="BG166" s="147">
        <f>IF(N166="zákl. přenesená",J166,0)</f>
        <v>0</v>
      </c>
      <c r="BH166" s="147">
        <f>IF(N166="sníž. přenesená",J166,0)</f>
        <v>0</v>
      </c>
      <c r="BI166" s="147">
        <f>IF(N166="nulová",J166,0)</f>
        <v>0</v>
      </c>
      <c r="BJ166" s="18" t="s">
        <v>80</v>
      </c>
      <c r="BK166" s="147">
        <f>ROUND(I166*H166,2)</f>
        <v>0</v>
      </c>
      <c r="BL166" s="18" t="s">
        <v>154</v>
      </c>
      <c r="BM166" s="146" t="s">
        <v>653</v>
      </c>
    </row>
    <row r="167" spans="1:47" s="2" customFormat="1" ht="126.75">
      <c r="A167" s="30"/>
      <c r="B167" s="31"/>
      <c r="C167" s="30"/>
      <c r="D167" s="149" t="s">
        <v>142</v>
      </c>
      <c r="E167" s="30"/>
      <c r="F167" s="162" t="s">
        <v>261</v>
      </c>
      <c r="G167" s="30"/>
      <c r="H167" s="30"/>
      <c r="I167" s="30"/>
      <c r="J167" s="30"/>
      <c r="K167" s="30"/>
      <c r="L167" s="31"/>
      <c r="M167" s="163"/>
      <c r="N167" s="164"/>
      <c r="O167" s="51"/>
      <c r="P167" s="51"/>
      <c r="Q167" s="51"/>
      <c r="R167" s="51"/>
      <c r="S167" s="51"/>
      <c r="T167" s="52"/>
      <c r="U167" s="30"/>
      <c r="V167" s="30"/>
      <c r="W167" s="30"/>
      <c r="X167" s="30"/>
      <c r="Y167" s="30"/>
      <c r="Z167" s="30"/>
      <c r="AA167" s="30"/>
      <c r="AB167" s="30"/>
      <c r="AC167" s="30"/>
      <c r="AD167" s="30"/>
      <c r="AE167" s="30"/>
      <c r="AT167" s="18" t="s">
        <v>142</v>
      </c>
      <c r="AU167" s="18" t="s">
        <v>82</v>
      </c>
    </row>
    <row r="168" spans="2:63" s="12" customFormat="1" ht="22.9" customHeight="1">
      <c r="B168" s="123"/>
      <c r="D168" s="124" t="s">
        <v>71</v>
      </c>
      <c r="E168" s="133" t="s">
        <v>654</v>
      </c>
      <c r="F168" s="133" t="s">
        <v>655</v>
      </c>
      <c r="J168" s="134">
        <f>BK168</f>
        <v>0</v>
      </c>
      <c r="L168" s="123"/>
      <c r="M168" s="127"/>
      <c r="N168" s="128"/>
      <c r="O168" s="128"/>
      <c r="P168" s="129">
        <f>SUM(P169:P187)</f>
        <v>2.614</v>
      </c>
      <c r="Q168" s="128"/>
      <c r="R168" s="129">
        <f>SUM(R169:R187)</f>
        <v>0.009384</v>
      </c>
      <c r="S168" s="128"/>
      <c r="T168" s="130">
        <f>SUM(T169:T187)</f>
        <v>0</v>
      </c>
      <c r="AR168" s="124" t="s">
        <v>82</v>
      </c>
      <c r="AT168" s="131" t="s">
        <v>71</v>
      </c>
      <c r="AU168" s="131" t="s">
        <v>80</v>
      </c>
      <c r="AY168" s="124" t="s">
        <v>133</v>
      </c>
      <c r="BK168" s="132">
        <f>SUM(BK169:BK187)</f>
        <v>0</v>
      </c>
    </row>
    <row r="169" spans="1:65" s="2" customFormat="1" ht="24.2" customHeight="1">
      <c r="A169" s="30"/>
      <c r="B169" s="135"/>
      <c r="C169" s="136">
        <v>35</v>
      </c>
      <c r="D169" s="136" t="s">
        <v>136</v>
      </c>
      <c r="E169" s="137" t="s">
        <v>656</v>
      </c>
      <c r="F169" s="138" t="s">
        <v>657</v>
      </c>
      <c r="G169" s="139" t="s">
        <v>151</v>
      </c>
      <c r="H169" s="140">
        <f>H172</f>
        <v>41</v>
      </c>
      <c r="I169" s="141"/>
      <c r="J169" s="141">
        <f>ROUND(I169*H169,2)</f>
        <v>0</v>
      </c>
      <c r="K169" s="138" t="s">
        <v>141</v>
      </c>
      <c r="L169" s="31"/>
      <c r="M169" s="142" t="s">
        <v>3</v>
      </c>
      <c r="N169" s="143" t="s">
        <v>43</v>
      </c>
      <c r="O169" s="144">
        <v>0.04</v>
      </c>
      <c r="P169" s="144">
        <f>O169*H169</f>
        <v>1.6400000000000001</v>
      </c>
      <c r="Q169" s="144">
        <v>0</v>
      </c>
      <c r="R169" s="144">
        <f>Q169*H169</f>
        <v>0</v>
      </c>
      <c r="S169" s="144">
        <v>0</v>
      </c>
      <c r="T169" s="145">
        <f>S169*H169</f>
        <v>0</v>
      </c>
      <c r="U169" s="30"/>
      <c r="V169" s="30"/>
      <c r="W169" s="30"/>
      <c r="X169" s="30"/>
      <c r="Y169" s="30"/>
      <c r="Z169" s="30"/>
      <c r="AA169" s="30"/>
      <c r="AB169" s="30"/>
      <c r="AC169" s="30"/>
      <c r="AD169" s="30"/>
      <c r="AE169" s="30"/>
      <c r="AR169" s="146" t="s">
        <v>154</v>
      </c>
      <c r="AT169" s="146" t="s">
        <v>136</v>
      </c>
      <c r="AU169" s="146" t="s">
        <v>82</v>
      </c>
      <c r="AY169" s="18" t="s">
        <v>133</v>
      </c>
      <c r="BE169" s="147">
        <f>IF(N169="základní",J169,0)</f>
        <v>0</v>
      </c>
      <c r="BF169" s="147">
        <f>IF(N169="snížená",J169,0)</f>
        <v>0</v>
      </c>
      <c r="BG169" s="147">
        <f>IF(N169="zákl. přenesená",J169,0)</f>
        <v>0</v>
      </c>
      <c r="BH169" s="147">
        <f>IF(N169="sníž. přenesená",J169,0)</f>
        <v>0</v>
      </c>
      <c r="BI169" s="147">
        <f>IF(N169="nulová",J169,0)</f>
        <v>0</v>
      </c>
      <c r="BJ169" s="18" t="s">
        <v>80</v>
      </c>
      <c r="BK169" s="147">
        <f>ROUND(I169*H169,2)</f>
        <v>0</v>
      </c>
      <c r="BL169" s="18" t="s">
        <v>154</v>
      </c>
      <c r="BM169" s="146" t="s">
        <v>658</v>
      </c>
    </row>
    <row r="170" spans="1:47" s="2" customFormat="1" ht="29.25">
      <c r="A170" s="30"/>
      <c r="B170" s="31"/>
      <c r="C170" s="30"/>
      <c r="D170" s="149" t="s">
        <v>142</v>
      </c>
      <c r="E170" s="30"/>
      <c r="F170" s="162" t="s">
        <v>659</v>
      </c>
      <c r="G170" s="30"/>
      <c r="H170" s="30"/>
      <c r="I170" s="30"/>
      <c r="J170" s="30"/>
      <c r="K170" s="30"/>
      <c r="L170" s="31"/>
      <c r="M170" s="163"/>
      <c r="N170" s="164"/>
      <c r="O170" s="51"/>
      <c r="P170" s="51"/>
      <c r="Q170" s="51"/>
      <c r="R170" s="51"/>
      <c r="S170" s="51"/>
      <c r="T170" s="52"/>
      <c r="U170" s="30"/>
      <c r="V170" s="30"/>
      <c r="W170" s="30"/>
      <c r="X170" s="30"/>
      <c r="Y170" s="30"/>
      <c r="Z170" s="30"/>
      <c r="AA170" s="30"/>
      <c r="AB170" s="30"/>
      <c r="AC170" s="30"/>
      <c r="AD170" s="30"/>
      <c r="AE170" s="30"/>
      <c r="AT170" s="18" t="s">
        <v>142</v>
      </c>
      <c r="AU170" s="18" t="s">
        <v>82</v>
      </c>
    </row>
    <row r="171" spans="2:51" s="13" customFormat="1" ht="12">
      <c r="B171" s="148"/>
      <c r="D171" s="149" t="s">
        <v>139</v>
      </c>
      <c r="E171" s="150" t="s">
        <v>3</v>
      </c>
      <c r="F171" s="151" t="s">
        <v>913</v>
      </c>
      <c r="H171" s="150" t="s">
        <v>3</v>
      </c>
      <c r="L171" s="148"/>
      <c r="M171" s="152"/>
      <c r="N171" s="153"/>
      <c r="O171" s="153"/>
      <c r="P171" s="153"/>
      <c r="Q171" s="153"/>
      <c r="R171" s="153"/>
      <c r="S171" s="153"/>
      <c r="T171" s="154"/>
      <c r="AT171" s="150" t="s">
        <v>139</v>
      </c>
      <c r="AU171" s="150" t="s">
        <v>82</v>
      </c>
      <c r="AV171" s="13" t="s">
        <v>80</v>
      </c>
      <c r="AW171" s="13" t="s">
        <v>34</v>
      </c>
      <c r="AX171" s="13" t="s">
        <v>72</v>
      </c>
      <c r="AY171" s="150" t="s">
        <v>133</v>
      </c>
    </row>
    <row r="172" spans="2:51" s="14" customFormat="1" ht="12">
      <c r="B172" s="155"/>
      <c r="D172" s="149" t="s">
        <v>139</v>
      </c>
      <c r="E172" s="156" t="s">
        <v>3</v>
      </c>
      <c r="F172" s="157">
        <v>41</v>
      </c>
      <c r="H172" s="158">
        <f>F172</f>
        <v>41</v>
      </c>
      <c r="L172" s="155"/>
      <c r="M172" s="159"/>
      <c r="N172" s="160"/>
      <c r="O172" s="160"/>
      <c r="P172" s="160"/>
      <c r="Q172" s="160"/>
      <c r="R172" s="160"/>
      <c r="S172" s="160"/>
      <c r="T172" s="161"/>
      <c r="AT172" s="156" t="s">
        <v>139</v>
      </c>
      <c r="AU172" s="156" t="s">
        <v>82</v>
      </c>
      <c r="AV172" s="14" t="s">
        <v>82</v>
      </c>
      <c r="AW172" s="14" t="s">
        <v>34</v>
      </c>
      <c r="AX172" s="14" t="s">
        <v>80</v>
      </c>
      <c r="AY172" s="156" t="s">
        <v>133</v>
      </c>
    </row>
    <row r="173" spans="1:65" s="2" customFormat="1" ht="14.45" customHeight="1">
      <c r="A173" s="30"/>
      <c r="B173" s="135"/>
      <c r="C173" s="172">
        <v>36</v>
      </c>
      <c r="D173" s="172" t="s">
        <v>146</v>
      </c>
      <c r="E173" s="173" t="s">
        <v>660</v>
      </c>
      <c r="F173" s="174" t="s">
        <v>661</v>
      </c>
      <c r="G173" s="175" t="s">
        <v>151</v>
      </c>
      <c r="H173" s="176">
        <f>H174</f>
        <v>49.199999999999996</v>
      </c>
      <c r="I173" s="177"/>
      <c r="J173" s="177">
        <f>ROUND(I173*H173,2)</f>
        <v>0</v>
      </c>
      <c r="K173" s="174" t="s">
        <v>141</v>
      </c>
      <c r="L173" s="178"/>
      <c r="M173" s="179" t="s">
        <v>3</v>
      </c>
      <c r="N173" s="180" t="s">
        <v>43</v>
      </c>
      <c r="O173" s="144">
        <v>0</v>
      </c>
      <c r="P173" s="144">
        <f>O173*H173</f>
        <v>0</v>
      </c>
      <c r="Q173" s="144">
        <v>2E-05</v>
      </c>
      <c r="R173" s="144">
        <f>Q173*H173</f>
        <v>0.000984</v>
      </c>
      <c r="S173" s="144">
        <v>0</v>
      </c>
      <c r="T173" s="145">
        <f>S173*H173</f>
        <v>0</v>
      </c>
      <c r="U173" s="30"/>
      <c r="V173" s="30"/>
      <c r="W173" s="30"/>
      <c r="X173" s="30"/>
      <c r="Y173" s="30"/>
      <c r="Z173" s="30"/>
      <c r="AA173" s="30"/>
      <c r="AB173" s="30"/>
      <c r="AC173" s="30"/>
      <c r="AD173" s="30"/>
      <c r="AE173" s="30"/>
      <c r="AR173" s="146" t="s">
        <v>162</v>
      </c>
      <c r="AT173" s="146" t="s">
        <v>146</v>
      </c>
      <c r="AU173" s="146" t="s">
        <v>82</v>
      </c>
      <c r="AY173" s="18" t="s">
        <v>133</v>
      </c>
      <c r="BE173" s="147">
        <f>IF(N173="základní",J173,0)</f>
        <v>0</v>
      </c>
      <c r="BF173" s="147">
        <f>IF(N173="snížená",J173,0)</f>
        <v>0</v>
      </c>
      <c r="BG173" s="147">
        <f>IF(N173="zákl. přenesená",J173,0)</f>
        <v>0</v>
      </c>
      <c r="BH173" s="147">
        <f>IF(N173="sníž. přenesená",J173,0)</f>
        <v>0</v>
      </c>
      <c r="BI173" s="147">
        <f>IF(N173="nulová",J173,0)</f>
        <v>0</v>
      </c>
      <c r="BJ173" s="18" t="s">
        <v>80</v>
      </c>
      <c r="BK173" s="147">
        <f>ROUND(I173*H173,2)</f>
        <v>0</v>
      </c>
      <c r="BL173" s="18" t="s">
        <v>154</v>
      </c>
      <c r="BM173" s="146" t="s">
        <v>662</v>
      </c>
    </row>
    <row r="174" spans="2:51" s="14" customFormat="1" ht="12">
      <c r="B174" s="155"/>
      <c r="D174" s="149" t="s">
        <v>139</v>
      </c>
      <c r="F174" s="157" t="s">
        <v>949</v>
      </c>
      <c r="H174" s="158">
        <f>H169*1.2</f>
        <v>49.199999999999996</v>
      </c>
      <c r="L174" s="155"/>
      <c r="M174" s="159"/>
      <c r="N174" s="160"/>
      <c r="O174" s="160"/>
      <c r="P174" s="160"/>
      <c r="Q174" s="160"/>
      <c r="R174" s="160"/>
      <c r="S174" s="160"/>
      <c r="T174" s="161"/>
      <c r="AT174" s="156" t="s">
        <v>139</v>
      </c>
      <c r="AU174" s="156" t="s">
        <v>82</v>
      </c>
      <c r="AV174" s="14" t="s">
        <v>82</v>
      </c>
      <c r="AW174" s="14" t="s">
        <v>4</v>
      </c>
      <c r="AX174" s="14" t="s">
        <v>80</v>
      </c>
      <c r="AY174" s="156" t="s">
        <v>133</v>
      </c>
    </row>
    <row r="175" spans="1:65" s="2" customFormat="1" ht="14.45" customHeight="1">
      <c r="A175" s="30"/>
      <c r="B175" s="135"/>
      <c r="C175" s="136">
        <v>37</v>
      </c>
      <c r="D175" s="136" t="s">
        <v>136</v>
      </c>
      <c r="E175" s="137" t="s">
        <v>663</v>
      </c>
      <c r="F175" s="138" t="s">
        <v>664</v>
      </c>
      <c r="G175" s="139" t="s">
        <v>140</v>
      </c>
      <c r="H175" s="140">
        <v>1</v>
      </c>
      <c r="I175" s="141"/>
      <c r="J175" s="141">
        <f>ROUND(I175*H175,2)</f>
        <v>0</v>
      </c>
      <c r="K175" s="138" t="s">
        <v>141</v>
      </c>
      <c r="L175" s="31"/>
      <c r="M175" s="142" t="s">
        <v>3</v>
      </c>
      <c r="N175" s="143" t="s">
        <v>43</v>
      </c>
      <c r="O175" s="144">
        <v>0.17</v>
      </c>
      <c r="P175" s="144">
        <f>O175*H175</f>
        <v>0.17</v>
      </c>
      <c r="Q175" s="144">
        <v>0</v>
      </c>
      <c r="R175" s="144">
        <f>Q175*H175</f>
        <v>0</v>
      </c>
      <c r="S175" s="144">
        <v>0</v>
      </c>
      <c r="T175" s="145">
        <f>S175*H175</f>
        <v>0</v>
      </c>
      <c r="U175" s="30"/>
      <c r="V175" s="30"/>
      <c r="W175" s="30"/>
      <c r="X175" s="30"/>
      <c r="Y175" s="30"/>
      <c r="Z175" s="30"/>
      <c r="AA175" s="30"/>
      <c r="AB175" s="30"/>
      <c r="AC175" s="30"/>
      <c r="AD175" s="30"/>
      <c r="AE175" s="30"/>
      <c r="AR175" s="146" t="s">
        <v>154</v>
      </c>
      <c r="AT175" s="146" t="s">
        <v>136</v>
      </c>
      <c r="AU175" s="146" t="s">
        <v>82</v>
      </c>
      <c r="AY175" s="18" t="s">
        <v>133</v>
      </c>
      <c r="BE175" s="147">
        <f>IF(N175="základní",J175,0)</f>
        <v>0</v>
      </c>
      <c r="BF175" s="147">
        <f>IF(N175="snížená",J175,0)</f>
        <v>0</v>
      </c>
      <c r="BG175" s="147">
        <f>IF(N175="zákl. přenesená",J175,0)</f>
        <v>0</v>
      </c>
      <c r="BH175" s="147">
        <f>IF(N175="sníž. přenesená",J175,0)</f>
        <v>0</v>
      </c>
      <c r="BI175" s="147">
        <f>IF(N175="nulová",J175,0)</f>
        <v>0</v>
      </c>
      <c r="BJ175" s="18" t="s">
        <v>80</v>
      </c>
      <c r="BK175" s="147">
        <f>ROUND(I175*H175,2)</f>
        <v>0</v>
      </c>
      <c r="BL175" s="18" t="s">
        <v>154</v>
      </c>
      <c r="BM175" s="146" t="s">
        <v>665</v>
      </c>
    </row>
    <row r="176" spans="2:51" s="13" customFormat="1" ht="12">
      <c r="B176" s="148"/>
      <c r="D176" s="149" t="s">
        <v>139</v>
      </c>
      <c r="E176" s="150" t="s">
        <v>3</v>
      </c>
      <c r="F176" s="151" t="s">
        <v>914</v>
      </c>
      <c r="H176" s="150" t="s">
        <v>3</v>
      </c>
      <c r="L176" s="148"/>
      <c r="M176" s="152"/>
      <c r="N176" s="153"/>
      <c r="O176" s="153"/>
      <c r="P176" s="153"/>
      <c r="Q176" s="153"/>
      <c r="R176" s="153"/>
      <c r="S176" s="153"/>
      <c r="T176" s="154"/>
      <c r="AT176" s="150" t="s">
        <v>139</v>
      </c>
      <c r="AU176" s="150" t="s">
        <v>82</v>
      </c>
      <c r="AV176" s="13" t="s">
        <v>80</v>
      </c>
      <c r="AW176" s="13" t="s">
        <v>34</v>
      </c>
      <c r="AX176" s="13" t="s">
        <v>72</v>
      </c>
      <c r="AY176" s="150" t="s">
        <v>133</v>
      </c>
    </row>
    <row r="177" spans="2:51" s="14" customFormat="1" ht="12">
      <c r="B177" s="155"/>
      <c r="D177" s="149" t="s">
        <v>139</v>
      </c>
      <c r="E177" s="156" t="s">
        <v>3</v>
      </c>
      <c r="F177" s="157" t="s">
        <v>80</v>
      </c>
      <c r="H177" s="158">
        <v>1</v>
      </c>
      <c r="L177" s="155"/>
      <c r="M177" s="159"/>
      <c r="N177" s="160"/>
      <c r="O177" s="160"/>
      <c r="P177" s="160"/>
      <c r="Q177" s="160"/>
      <c r="R177" s="160"/>
      <c r="S177" s="160"/>
      <c r="T177" s="161"/>
      <c r="AT177" s="156" t="s">
        <v>139</v>
      </c>
      <c r="AU177" s="156" t="s">
        <v>82</v>
      </c>
      <c r="AV177" s="14" t="s">
        <v>82</v>
      </c>
      <c r="AW177" s="14" t="s">
        <v>34</v>
      </c>
      <c r="AX177" s="14" t="s">
        <v>80</v>
      </c>
      <c r="AY177" s="156" t="s">
        <v>133</v>
      </c>
    </row>
    <row r="178" spans="1:65" s="2" customFormat="1" ht="24.2" customHeight="1">
      <c r="A178" s="30"/>
      <c r="B178" s="135"/>
      <c r="C178" s="172">
        <v>38</v>
      </c>
      <c r="D178" s="172" t="s">
        <v>146</v>
      </c>
      <c r="E178" s="173" t="s">
        <v>666</v>
      </c>
      <c r="F178" s="174" t="s">
        <v>667</v>
      </c>
      <c r="G178" s="175" t="s">
        <v>140</v>
      </c>
      <c r="H178" s="176">
        <v>1</v>
      </c>
      <c r="I178" s="177"/>
      <c r="J178" s="177">
        <f>ROUND(I178*H178,2)</f>
        <v>0</v>
      </c>
      <c r="K178" s="174" t="s">
        <v>141</v>
      </c>
      <c r="L178" s="178"/>
      <c r="M178" s="179" t="s">
        <v>3</v>
      </c>
      <c r="N178" s="180" t="s">
        <v>43</v>
      </c>
      <c r="O178" s="144">
        <v>0</v>
      </c>
      <c r="P178" s="144">
        <f>O178*H178</f>
        <v>0</v>
      </c>
      <c r="Q178" s="144">
        <v>0.0081</v>
      </c>
      <c r="R178" s="144">
        <f>Q178*H178</f>
        <v>0.0081</v>
      </c>
      <c r="S178" s="144">
        <v>0</v>
      </c>
      <c r="T178" s="145">
        <f>S178*H178</f>
        <v>0</v>
      </c>
      <c r="U178" s="30"/>
      <c r="V178" s="30"/>
      <c r="W178" s="30"/>
      <c r="X178" s="30"/>
      <c r="Y178" s="30"/>
      <c r="Z178" s="30"/>
      <c r="AA178" s="30"/>
      <c r="AB178" s="30"/>
      <c r="AC178" s="30"/>
      <c r="AD178" s="30"/>
      <c r="AE178" s="30"/>
      <c r="AR178" s="146" t="s">
        <v>162</v>
      </c>
      <c r="AT178" s="146" t="s">
        <v>146</v>
      </c>
      <c r="AU178" s="146" t="s">
        <v>82</v>
      </c>
      <c r="AY178" s="18" t="s">
        <v>133</v>
      </c>
      <c r="BE178" s="147">
        <f>IF(N178="základní",J178,0)</f>
        <v>0</v>
      </c>
      <c r="BF178" s="147">
        <f>IF(N178="snížená",J178,0)</f>
        <v>0</v>
      </c>
      <c r="BG178" s="147">
        <f>IF(N178="zákl. přenesená",J178,0)</f>
        <v>0</v>
      </c>
      <c r="BH178" s="147">
        <f>IF(N178="sníž. přenesená",J178,0)</f>
        <v>0</v>
      </c>
      <c r="BI178" s="147">
        <f>IF(N178="nulová",J178,0)</f>
        <v>0</v>
      </c>
      <c r="BJ178" s="18" t="s">
        <v>80</v>
      </c>
      <c r="BK178" s="147">
        <f>ROUND(I178*H178,2)</f>
        <v>0</v>
      </c>
      <c r="BL178" s="18" t="s">
        <v>154</v>
      </c>
      <c r="BM178" s="146" t="s">
        <v>668</v>
      </c>
    </row>
    <row r="179" spans="1:65" s="2" customFormat="1" ht="37.9" customHeight="1">
      <c r="A179" s="30"/>
      <c r="B179" s="135"/>
      <c r="C179" s="136">
        <v>39</v>
      </c>
      <c r="D179" s="136" t="s">
        <v>136</v>
      </c>
      <c r="E179" s="137" t="s">
        <v>669</v>
      </c>
      <c r="F179" s="138" t="s">
        <v>670</v>
      </c>
      <c r="G179" s="139" t="s">
        <v>140</v>
      </c>
      <c r="H179" s="140">
        <f>H181</f>
        <v>3</v>
      </c>
      <c r="I179" s="141"/>
      <c r="J179" s="141">
        <f>ROUND(I179*H179,2)</f>
        <v>0</v>
      </c>
      <c r="K179" s="138" t="s">
        <v>141</v>
      </c>
      <c r="L179" s="31"/>
      <c r="M179" s="142" t="s">
        <v>3</v>
      </c>
      <c r="N179" s="143" t="s">
        <v>43</v>
      </c>
      <c r="O179" s="144">
        <v>0.25</v>
      </c>
      <c r="P179" s="144">
        <f>O179*H179</f>
        <v>0.75</v>
      </c>
      <c r="Q179" s="144">
        <v>0</v>
      </c>
      <c r="R179" s="144">
        <f>Q179*H179</f>
        <v>0</v>
      </c>
      <c r="S179" s="144">
        <v>0</v>
      </c>
      <c r="T179" s="145">
        <f>S179*H179</f>
        <v>0</v>
      </c>
      <c r="U179" s="30"/>
      <c r="V179" s="30"/>
      <c r="W179" s="30"/>
      <c r="X179" s="30"/>
      <c r="Y179" s="30"/>
      <c r="Z179" s="30"/>
      <c r="AA179" s="30"/>
      <c r="AB179" s="30"/>
      <c r="AC179" s="30"/>
      <c r="AD179" s="30"/>
      <c r="AE179" s="30"/>
      <c r="AR179" s="146" t="s">
        <v>154</v>
      </c>
      <c r="AT179" s="146" t="s">
        <v>136</v>
      </c>
      <c r="AU179" s="146" t="s">
        <v>82</v>
      </c>
      <c r="AY179" s="18" t="s">
        <v>133</v>
      </c>
      <c r="BE179" s="147">
        <f>IF(N179="základní",J179,0)</f>
        <v>0</v>
      </c>
      <c r="BF179" s="147">
        <f>IF(N179="snížená",J179,0)</f>
        <v>0</v>
      </c>
      <c r="BG179" s="147">
        <f>IF(N179="zákl. přenesená",J179,0)</f>
        <v>0</v>
      </c>
      <c r="BH179" s="147">
        <f>IF(N179="sníž. přenesená",J179,0)</f>
        <v>0</v>
      </c>
      <c r="BI179" s="147">
        <f>IF(N179="nulová",J179,0)</f>
        <v>0</v>
      </c>
      <c r="BJ179" s="18" t="s">
        <v>80</v>
      </c>
      <c r="BK179" s="147">
        <f>ROUND(I179*H179,2)</f>
        <v>0</v>
      </c>
      <c r="BL179" s="18" t="s">
        <v>154</v>
      </c>
      <c r="BM179" s="146" t="s">
        <v>671</v>
      </c>
    </row>
    <row r="180" spans="2:51" s="13" customFormat="1" ht="12">
      <c r="B180" s="148"/>
      <c r="D180" s="149" t="s">
        <v>139</v>
      </c>
      <c r="E180" s="150" t="s">
        <v>3</v>
      </c>
      <c r="F180" s="151" t="s">
        <v>914</v>
      </c>
      <c r="H180" s="150" t="s">
        <v>3</v>
      </c>
      <c r="L180" s="148"/>
      <c r="M180" s="152"/>
      <c r="N180" s="153"/>
      <c r="O180" s="153"/>
      <c r="P180" s="153"/>
      <c r="Q180" s="153"/>
      <c r="R180" s="153"/>
      <c r="S180" s="153"/>
      <c r="T180" s="154"/>
      <c r="AT180" s="150" t="s">
        <v>139</v>
      </c>
      <c r="AU180" s="150" t="s">
        <v>82</v>
      </c>
      <c r="AV180" s="13" t="s">
        <v>80</v>
      </c>
      <c r="AW180" s="13" t="s">
        <v>34</v>
      </c>
      <c r="AX180" s="13" t="s">
        <v>72</v>
      </c>
      <c r="AY180" s="150" t="s">
        <v>133</v>
      </c>
    </row>
    <row r="181" spans="2:51" s="14" customFormat="1" ht="12">
      <c r="B181" s="155"/>
      <c r="D181" s="149" t="s">
        <v>139</v>
      </c>
      <c r="E181" s="156" t="s">
        <v>3</v>
      </c>
      <c r="F181" s="157">
        <v>3</v>
      </c>
      <c r="H181" s="158">
        <f>F181</f>
        <v>3</v>
      </c>
      <c r="L181" s="155"/>
      <c r="M181" s="159"/>
      <c r="N181" s="160"/>
      <c r="O181" s="160"/>
      <c r="P181" s="160"/>
      <c r="Q181" s="160"/>
      <c r="R181" s="160"/>
      <c r="S181" s="160"/>
      <c r="T181" s="161"/>
      <c r="AT181" s="156" t="s">
        <v>139</v>
      </c>
      <c r="AU181" s="156" t="s">
        <v>82</v>
      </c>
      <c r="AV181" s="14" t="s">
        <v>82</v>
      </c>
      <c r="AW181" s="14" t="s">
        <v>34</v>
      </c>
      <c r="AX181" s="14" t="s">
        <v>80</v>
      </c>
      <c r="AY181" s="156" t="s">
        <v>133</v>
      </c>
    </row>
    <row r="182" spans="1:65" s="2" customFormat="1" ht="14.45" customHeight="1">
      <c r="A182" s="30"/>
      <c r="B182" s="135"/>
      <c r="C182" s="172">
        <v>40</v>
      </c>
      <c r="D182" s="172" t="s">
        <v>146</v>
      </c>
      <c r="E182" s="173" t="s">
        <v>672</v>
      </c>
      <c r="F182" s="174" t="s">
        <v>673</v>
      </c>
      <c r="G182" s="175" t="s">
        <v>140</v>
      </c>
      <c r="H182" s="176">
        <f>H179</f>
        <v>3</v>
      </c>
      <c r="I182" s="177"/>
      <c r="J182" s="177">
        <f>ROUND(I182*H182,2)</f>
        <v>0</v>
      </c>
      <c r="K182" s="174" t="s">
        <v>137</v>
      </c>
      <c r="L182" s="178"/>
      <c r="M182" s="179" t="s">
        <v>3</v>
      </c>
      <c r="N182" s="180" t="s">
        <v>43</v>
      </c>
      <c r="O182" s="144">
        <v>0</v>
      </c>
      <c r="P182" s="144">
        <f>O182*H182</f>
        <v>0</v>
      </c>
      <c r="Q182" s="144">
        <v>0.0001</v>
      </c>
      <c r="R182" s="144">
        <f>Q182*H182</f>
        <v>0.00030000000000000003</v>
      </c>
      <c r="S182" s="144">
        <v>0</v>
      </c>
      <c r="T182" s="145">
        <f>S182*H182</f>
        <v>0</v>
      </c>
      <c r="U182" s="30"/>
      <c r="V182" s="30"/>
      <c r="W182" s="30"/>
      <c r="X182" s="30"/>
      <c r="Y182" s="30"/>
      <c r="Z182" s="30"/>
      <c r="AA182" s="30"/>
      <c r="AB182" s="30"/>
      <c r="AC182" s="30"/>
      <c r="AD182" s="30"/>
      <c r="AE182" s="30"/>
      <c r="AR182" s="146" t="s">
        <v>162</v>
      </c>
      <c r="AT182" s="146" t="s">
        <v>146</v>
      </c>
      <c r="AU182" s="146" t="s">
        <v>82</v>
      </c>
      <c r="AY182" s="18" t="s">
        <v>133</v>
      </c>
      <c r="BE182" s="147">
        <f>IF(N182="základní",J182,0)</f>
        <v>0</v>
      </c>
      <c r="BF182" s="147">
        <f>IF(N182="snížená",J182,0)</f>
        <v>0</v>
      </c>
      <c r="BG182" s="147">
        <f>IF(N182="zákl. přenesená",J182,0)</f>
        <v>0</v>
      </c>
      <c r="BH182" s="147">
        <f>IF(N182="sníž. přenesená",J182,0)</f>
        <v>0</v>
      </c>
      <c r="BI182" s="147">
        <f>IF(N182="nulová",J182,0)</f>
        <v>0</v>
      </c>
      <c r="BJ182" s="18" t="s">
        <v>80</v>
      </c>
      <c r="BK182" s="147">
        <f>ROUND(I182*H182,2)</f>
        <v>0</v>
      </c>
      <c r="BL182" s="18" t="s">
        <v>154</v>
      </c>
      <c r="BM182" s="146" t="s">
        <v>674</v>
      </c>
    </row>
    <row r="183" spans="1:65" s="2" customFormat="1" ht="24.2" customHeight="1">
      <c r="A183" s="30"/>
      <c r="B183" s="135"/>
      <c r="C183" s="136">
        <v>41</v>
      </c>
      <c r="D183" s="136" t="s">
        <v>136</v>
      </c>
      <c r="E183" s="137" t="s">
        <v>675</v>
      </c>
      <c r="F183" s="138" t="s">
        <v>676</v>
      </c>
      <c r="G183" s="139" t="s">
        <v>140</v>
      </c>
      <c r="H183" s="140">
        <f>H179</f>
        <v>3</v>
      </c>
      <c r="I183" s="141"/>
      <c r="J183" s="141">
        <f>ROUND(I183*H183,2)</f>
        <v>0</v>
      </c>
      <c r="K183" s="138" t="s">
        <v>141</v>
      </c>
      <c r="L183" s="31"/>
      <c r="M183" s="142" t="s">
        <v>3</v>
      </c>
      <c r="N183" s="143" t="s">
        <v>43</v>
      </c>
      <c r="O183" s="144">
        <v>0.018</v>
      </c>
      <c r="P183" s="144">
        <f>O183*H183</f>
        <v>0.05399999999999999</v>
      </c>
      <c r="Q183" s="144">
        <v>0</v>
      </c>
      <c r="R183" s="144">
        <f>Q183*H183</f>
        <v>0</v>
      </c>
      <c r="S183" s="144">
        <v>0</v>
      </c>
      <c r="T183" s="145">
        <f>S183*H183</f>
        <v>0</v>
      </c>
      <c r="U183" s="30"/>
      <c r="V183" s="30"/>
      <c r="W183" s="30"/>
      <c r="X183" s="30"/>
      <c r="Y183" s="30"/>
      <c r="Z183" s="30"/>
      <c r="AA183" s="30"/>
      <c r="AB183" s="30"/>
      <c r="AC183" s="30"/>
      <c r="AD183" s="30"/>
      <c r="AE183" s="30"/>
      <c r="AR183" s="146" t="s">
        <v>154</v>
      </c>
      <c r="AT183" s="146" t="s">
        <v>136</v>
      </c>
      <c r="AU183" s="146" t="s">
        <v>82</v>
      </c>
      <c r="AY183" s="18" t="s">
        <v>133</v>
      </c>
      <c r="BE183" s="147">
        <f>IF(N183="základní",J183,0)</f>
        <v>0</v>
      </c>
      <c r="BF183" s="147">
        <f>IF(N183="snížená",J183,0)</f>
        <v>0</v>
      </c>
      <c r="BG183" s="147">
        <f>IF(N183="zákl. přenesená",J183,0)</f>
        <v>0</v>
      </c>
      <c r="BH183" s="147">
        <f>IF(N183="sníž. přenesená",J183,0)</f>
        <v>0</v>
      </c>
      <c r="BI183" s="147">
        <f>IF(N183="nulová",J183,0)</f>
        <v>0</v>
      </c>
      <c r="BJ183" s="18" t="s">
        <v>80</v>
      </c>
      <c r="BK183" s="147">
        <f>ROUND(I183*H183,2)</f>
        <v>0</v>
      </c>
      <c r="BL183" s="18" t="s">
        <v>154</v>
      </c>
      <c r="BM183" s="146" t="s">
        <v>677</v>
      </c>
    </row>
    <row r="184" spans="1:65" s="2" customFormat="1" ht="37.9" customHeight="1">
      <c r="A184" s="30"/>
      <c r="B184" s="135"/>
      <c r="C184" s="136">
        <v>42</v>
      </c>
      <c r="D184" s="136" t="s">
        <v>136</v>
      </c>
      <c r="E184" s="137" t="s">
        <v>678</v>
      </c>
      <c r="F184" s="138" t="s">
        <v>679</v>
      </c>
      <c r="G184" s="139" t="s">
        <v>229</v>
      </c>
      <c r="H184" s="140">
        <f>SUM(J169:J183)/100</f>
        <v>0</v>
      </c>
      <c r="I184" s="141"/>
      <c r="J184" s="141">
        <f>ROUND(I184*H184,2)</f>
        <v>0</v>
      </c>
      <c r="K184" s="138" t="s">
        <v>141</v>
      </c>
      <c r="L184" s="31"/>
      <c r="M184" s="142" t="s">
        <v>3</v>
      </c>
      <c r="N184" s="143" t="s">
        <v>43</v>
      </c>
      <c r="O184" s="144">
        <v>0</v>
      </c>
      <c r="P184" s="144">
        <f>O184*H184</f>
        <v>0</v>
      </c>
      <c r="Q184" s="144">
        <v>0</v>
      </c>
      <c r="R184" s="144">
        <f>Q184*H184</f>
        <v>0</v>
      </c>
      <c r="S184" s="144">
        <v>0</v>
      </c>
      <c r="T184" s="145">
        <f>S184*H184</f>
        <v>0</v>
      </c>
      <c r="U184" s="30"/>
      <c r="V184" s="30"/>
      <c r="W184" s="30"/>
      <c r="X184" s="30"/>
      <c r="Y184" s="30"/>
      <c r="Z184" s="30"/>
      <c r="AA184" s="30"/>
      <c r="AB184" s="30"/>
      <c r="AC184" s="30"/>
      <c r="AD184" s="30"/>
      <c r="AE184" s="30"/>
      <c r="AR184" s="146" t="s">
        <v>154</v>
      </c>
      <c r="AT184" s="146" t="s">
        <v>136</v>
      </c>
      <c r="AU184" s="146" t="s">
        <v>82</v>
      </c>
      <c r="AY184" s="18" t="s">
        <v>133</v>
      </c>
      <c r="BE184" s="147">
        <f>IF(N184="základní",J184,0)</f>
        <v>0</v>
      </c>
      <c r="BF184" s="147">
        <f>IF(N184="snížená",J184,0)</f>
        <v>0</v>
      </c>
      <c r="BG184" s="147">
        <f>IF(N184="zákl. přenesená",J184,0)</f>
        <v>0</v>
      </c>
      <c r="BH184" s="147">
        <f>IF(N184="sníž. přenesená",J184,0)</f>
        <v>0</v>
      </c>
      <c r="BI184" s="147">
        <f>IF(N184="nulová",J184,0)</f>
        <v>0</v>
      </c>
      <c r="BJ184" s="18" t="s">
        <v>80</v>
      </c>
      <c r="BK184" s="147">
        <f>ROUND(I184*H184,2)</f>
        <v>0</v>
      </c>
      <c r="BL184" s="18" t="s">
        <v>154</v>
      </c>
      <c r="BM184" s="146" t="s">
        <v>680</v>
      </c>
    </row>
    <row r="185" spans="1:47" s="2" customFormat="1" ht="126.75">
      <c r="A185" s="30"/>
      <c r="B185" s="31"/>
      <c r="C185" s="30"/>
      <c r="D185" s="149" t="s">
        <v>142</v>
      </c>
      <c r="E185" s="30"/>
      <c r="F185" s="162" t="s">
        <v>449</v>
      </c>
      <c r="G185" s="30"/>
      <c r="H185" s="30"/>
      <c r="I185" s="30"/>
      <c r="J185" s="30"/>
      <c r="K185" s="30"/>
      <c r="L185" s="31"/>
      <c r="M185" s="163"/>
      <c r="N185" s="164"/>
      <c r="O185" s="51"/>
      <c r="P185" s="51"/>
      <c r="Q185" s="51"/>
      <c r="R185" s="51"/>
      <c r="S185" s="51"/>
      <c r="T185" s="52"/>
      <c r="U185" s="30"/>
      <c r="V185" s="30"/>
      <c r="W185" s="30"/>
      <c r="X185" s="30"/>
      <c r="Y185" s="30"/>
      <c r="Z185" s="30"/>
      <c r="AA185" s="30"/>
      <c r="AB185" s="30"/>
      <c r="AC185" s="30"/>
      <c r="AD185" s="30"/>
      <c r="AE185" s="30"/>
      <c r="AT185" s="18" t="s">
        <v>142</v>
      </c>
      <c r="AU185" s="18" t="s">
        <v>82</v>
      </c>
    </row>
    <row r="186" spans="1:65" s="2" customFormat="1" ht="49.15" customHeight="1">
      <c r="A186" s="30"/>
      <c r="B186" s="135"/>
      <c r="C186" s="136">
        <v>43</v>
      </c>
      <c r="D186" s="136" t="s">
        <v>136</v>
      </c>
      <c r="E186" s="137" t="s">
        <v>681</v>
      </c>
      <c r="F186" s="138" t="s">
        <v>682</v>
      </c>
      <c r="G186" s="139" t="s">
        <v>229</v>
      </c>
      <c r="H186" s="140">
        <f>H184</f>
        <v>0</v>
      </c>
      <c r="I186" s="141"/>
      <c r="J186" s="141">
        <f>ROUND(I186*H186,2)</f>
        <v>0</v>
      </c>
      <c r="K186" s="138" t="s">
        <v>141</v>
      </c>
      <c r="L186" s="31"/>
      <c r="M186" s="142" t="s">
        <v>3</v>
      </c>
      <c r="N186" s="143" t="s">
        <v>43</v>
      </c>
      <c r="O186" s="144">
        <v>0</v>
      </c>
      <c r="P186" s="144">
        <f>O186*H186</f>
        <v>0</v>
      </c>
      <c r="Q186" s="144">
        <v>0</v>
      </c>
      <c r="R186" s="144">
        <f>Q186*H186</f>
        <v>0</v>
      </c>
      <c r="S186" s="144">
        <v>0</v>
      </c>
      <c r="T186" s="145">
        <f>S186*H186</f>
        <v>0</v>
      </c>
      <c r="U186" s="30"/>
      <c r="V186" s="30"/>
      <c r="W186" s="30"/>
      <c r="X186" s="30"/>
      <c r="Y186" s="30"/>
      <c r="Z186" s="30"/>
      <c r="AA186" s="30"/>
      <c r="AB186" s="30"/>
      <c r="AC186" s="30"/>
      <c r="AD186" s="30"/>
      <c r="AE186" s="30"/>
      <c r="AR186" s="146" t="s">
        <v>154</v>
      </c>
      <c r="AT186" s="146" t="s">
        <v>136</v>
      </c>
      <c r="AU186" s="146" t="s">
        <v>82</v>
      </c>
      <c r="AY186" s="18" t="s">
        <v>133</v>
      </c>
      <c r="BE186" s="147">
        <f>IF(N186="základní",J186,0)</f>
        <v>0</v>
      </c>
      <c r="BF186" s="147">
        <f>IF(N186="snížená",J186,0)</f>
        <v>0</v>
      </c>
      <c r="BG186" s="147">
        <f>IF(N186="zákl. přenesená",J186,0)</f>
        <v>0</v>
      </c>
      <c r="BH186" s="147">
        <f>IF(N186="sníž. přenesená",J186,0)</f>
        <v>0</v>
      </c>
      <c r="BI186" s="147">
        <f>IF(N186="nulová",J186,0)</f>
        <v>0</v>
      </c>
      <c r="BJ186" s="18" t="s">
        <v>80</v>
      </c>
      <c r="BK186" s="147">
        <f>ROUND(I186*H186,2)</f>
        <v>0</v>
      </c>
      <c r="BL186" s="18" t="s">
        <v>154</v>
      </c>
      <c r="BM186" s="146" t="s">
        <v>683</v>
      </c>
    </row>
    <row r="187" spans="1:47" s="2" customFormat="1" ht="126.75">
      <c r="A187" s="30"/>
      <c r="B187" s="31"/>
      <c r="C187" s="30"/>
      <c r="D187" s="149" t="s">
        <v>142</v>
      </c>
      <c r="E187" s="30"/>
      <c r="F187" s="162" t="s">
        <v>449</v>
      </c>
      <c r="G187" s="30"/>
      <c r="H187" s="30"/>
      <c r="I187" s="30"/>
      <c r="J187" s="30"/>
      <c r="K187" s="30"/>
      <c r="L187" s="31"/>
      <c r="M187" s="163"/>
      <c r="N187" s="164"/>
      <c r="O187" s="51"/>
      <c r="P187" s="51"/>
      <c r="Q187" s="51"/>
      <c r="R187" s="51"/>
      <c r="S187" s="51"/>
      <c r="T187" s="52"/>
      <c r="U187" s="30"/>
      <c r="V187" s="30"/>
      <c r="W187" s="30"/>
      <c r="X187" s="30"/>
      <c r="Y187" s="30"/>
      <c r="Z187" s="30"/>
      <c r="AA187" s="30"/>
      <c r="AB187" s="30"/>
      <c r="AC187" s="30"/>
      <c r="AD187" s="30"/>
      <c r="AE187" s="30"/>
      <c r="AT187" s="18" t="s">
        <v>142</v>
      </c>
      <c r="AU187" s="18" t="s">
        <v>82</v>
      </c>
    </row>
    <row r="188" spans="2:63" s="12" customFormat="1" ht="25.9" customHeight="1">
      <c r="B188" s="123"/>
      <c r="D188" s="124" t="s">
        <v>71</v>
      </c>
      <c r="E188" s="125" t="s">
        <v>491</v>
      </c>
      <c r="F188" s="125" t="s">
        <v>492</v>
      </c>
      <c r="J188" s="126">
        <f>BK188</f>
        <v>0</v>
      </c>
      <c r="L188" s="123"/>
      <c r="M188" s="127"/>
      <c r="N188" s="128"/>
      <c r="O188" s="128"/>
      <c r="P188" s="129">
        <f>SUM(P189:P192)</f>
        <v>36</v>
      </c>
      <c r="Q188" s="128"/>
      <c r="R188" s="129">
        <f>SUM(R189:R192)</f>
        <v>0</v>
      </c>
      <c r="S188" s="128"/>
      <c r="T188" s="130">
        <f>SUM(T189:T192)</f>
        <v>0</v>
      </c>
      <c r="AR188" s="124" t="s">
        <v>138</v>
      </c>
      <c r="AT188" s="131" t="s">
        <v>71</v>
      </c>
      <c r="AU188" s="131" t="s">
        <v>72</v>
      </c>
      <c r="AY188" s="124" t="s">
        <v>133</v>
      </c>
      <c r="BK188" s="132">
        <f>SUM(BK189:BK192)</f>
        <v>0</v>
      </c>
    </row>
    <row r="189" spans="1:65" s="2" customFormat="1" ht="24.2" customHeight="1">
      <c r="A189" s="30"/>
      <c r="B189" s="135"/>
      <c r="C189" s="136">
        <v>44</v>
      </c>
      <c r="D189" s="136" t="s">
        <v>136</v>
      </c>
      <c r="E189" s="137" t="s">
        <v>493</v>
      </c>
      <c r="F189" s="138" t="s">
        <v>494</v>
      </c>
      <c r="G189" s="139" t="s">
        <v>495</v>
      </c>
      <c r="H189" s="140">
        <v>12</v>
      </c>
      <c r="I189" s="141"/>
      <c r="J189" s="141">
        <f>ROUND(I189*H189,2)</f>
        <v>0</v>
      </c>
      <c r="K189" s="138" t="s">
        <v>141</v>
      </c>
      <c r="L189" s="31"/>
      <c r="M189" s="142" t="s">
        <v>3</v>
      </c>
      <c r="N189" s="143" t="s">
        <v>43</v>
      </c>
      <c r="O189" s="144">
        <v>1</v>
      </c>
      <c r="P189" s="144">
        <f>O189*H189</f>
        <v>12</v>
      </c>
      <c r="Q189" s="144">
        <v>0</v>
      </c>
      <c r="R189" s="144">
        <f>Q189*H189</f>
        <v>0</v>
      </c>
      <c r="S189" s="144">
        <v>0</v>
      </c>
      <c r="T189" s="145">
        <f>S189*H189</f>
        <v>0</v>
      </c>
      <c r="U189" s="30"/>
      <c r="V189" s="30"/>
      <c r="W189" s="30"/>
      <c r="X189" s="30"/>
      <c r="Y189" s="30"/>
      <c r="Z189" s="30"/>
      <c r="AA189" s="30"/>
      <c r="AB189" s="30"/>
      <c r="AC189" s="30"/>
      <c r="AD189" s="30"/>
      <c r="AE189" s="30"/>
      <c r="AR189" s="146" t="s">
        <v>496</v>
      </c>
      <c r="AT189" s="146" t="s">
        <v>136</v>
      </c>
      <c r="AU189" s="146" t="s">
        <v>80</v>
      </c>
      <c r="AY189" s="18" t="s">
        <v>133</v>
      </c>
      <c r="BE189" s="147">
        <f>IF(N189="základní",J189,0)</f>
        <v>0</v>
      </c>
      <c r="BF189" s="147">
        <f>IF(N189="snížená",J189,0)</f>
        <v>0</v>
      </c>
      <c r="BG189" s="147">
        <f>IF(N189="zákl. přenesená",J189,0)</f>
        <v>0</v>
      </c>
      <c r="BH189" s="147">
        <f>IF(N189="sníž. přenesená",J189,0)</f>
        <v>0</v>
      </c>
      <c r="BI189" s="147">
        <f>IF(N189="nulová",J189,0)</f>
        <v>0</v>
      </c>
      <c r="BJ189" s="18" t="s">
        <v>80</v>
      </c>
      <c r="BK189" s="147">
        <f>ROUND(I189*H189,2)</f>
        <v>0</v>
      </c>
      <c r="BL189" s="18" t="s">
        <v>496</v>
      </c>
      <c r="BM189" s="146" t="s">
        <v>684</v>
      </c>
    </row>
    <row r="190" spans="1:47" s="2" customFormat="1" ht="19.5">
      <c r="A190" s="30"/>
      <c r="B190" s="31"/>
      <c r="C190" s="30"/>
      <c r="D190" s="149" t="s">
        <v>170</v>
      </c>
      <c r="E190" s="30"/>
      <c r="F190" s="162" t="s">
        <v>498</v>
      </c>
      <c r="G190" s="30"/>
      <c r="H190" s="30"/>
      <c r="I190" s="30"/>
      <c r="J190" s="30"/>
      <c r="K190" s="30"/>
      <c r="L190" s="31"/>
      <c r="M190" s="163"/>
      <c r="N190" s="164"/>
      <c r="O190" s="51"/>
      <c r="P190" s="51"/>
      <c r="Q190" s="51"/>
      <c r="R190" s="51"/>
      <c r="S190" s="51"/>
      <c r="T190" s="52"/>
      <c r="U190" s="30"/>
      <c r="V190" s="30"/>
      <c r="W190" s="30"/>
      <c r="X190" s="30"/>
      <c r="Y190" s="30"/>
      <c r="Z190" s="30"/>
      <c r="AA190" s="30"/>
      <c r="AB190" s="30"/>
      <c r="AC190" s="30"/>
      <c r="AD190" s="30"/>
      <c r="AE190" s="30"/>
      <c r="AT190" s="18" t="s">
        <v>170</v>
      </c>
      <c r="AU190" s="18" t="s">
        <v>80</v>
      </c>
    </row>
    <row r="191" spans="1:65" s="2" customFormat="1" ht="24.2" customHeight="1">
      <c r="A191" s="30"/>
      <c r="B191" s="135"/>
      <c r="C191" s="136">
        <v>45</v>
      </c>
      <c r="D191" s="136" t="s">
        <v>136</v>
      </c>
      <c r="E191" s="137" t="s">
        <v>685</v>
      </c>
      <c r="F191" s="138" t="s">
        <v>686</v>
      </c>
      <c r="G191" s="139" t="s">
        <v>495</v>
      </c>
      <c r="H191" s="140">
        <v>24</v>
      </c>
      <c r="I191" s="141"/>
      <c r="J191" s="141">
        <f>ROUND(I191*H191,2)</f>
        <v>0</v>
      </c>
      <c r="K191" s="138" t="s">
        <v>141</v>
      </c>
      <c r="L191" s="31"/>
      <c r="M191" s="142" t="s">
        <v>3</v>
      </c>
      <c r="N191" s="143" t="s">
        <v>43</v>
      </c>
      <c r="O191" s="144">
        <v>1</v>
      </c>
      <c r="P191" s="144">
        <f>O191*H191</f>
        <v>24</v>
      </c>
      <c r="Q191" s="144">
        <v>0</v>
      </c>
      <c r="R191" s="144">
        <f>Q191*H191</f>
        <v>0</v>
      </c>
      <c r="S191" s="144">
        <v>0</v>
      </c>
      <c r="T191" s="145">
        <f>S191*H191</f>
        <v>0</v>
      </c>
      <c r="U191" s="30"/>
      <c r="V191" s="30"/>
      <c r="W191" s="30"/>
      <c r="X191" s="30"/>
      <c r="Y191" s="30"/>
      <c r="Z191" s="30"/>
      <c r="AA191" s="30"/>
      <c r="AB191" s="30"/>
      <c r="AC191" s="30"/>
      <c r="AD191" s="30"/>
      <c r="AE191" s="30"/>
      <c r="AR191" s="146" t="s">
        <v>496</v>
      </c>
      <c r="AT191" s="146" t="s">
        <v>136</v>
      </c>
      <c r="AU191" s="146" t="s">
        <v>80</v>
      </c>
      <c r="AY191" s="18" t="s">
        <v>133</v>
      </c>
      <c r="BE191" s="147">
        <f>IF(N191="základní",J191,0)</f>
        <v>0</v>
      </c>
      <c r="BF191" s="147">
        <f>IF(N191="snížená",J191,0)</f>
        <v>0</v>
      </c>
      <c r="BG191" s="147">
        <f>IF(N191="zákl. přenesená",J191,0)</f>
        <v>0</v>
      </c>
      <c r="BH191" s="147">
        <f>IF(N191="sníž. přenesená",J191,0)</f>
        <v>0</v>
      </c>
      <c r="BI191" s="147">
        <f>IF(N191="nulová",J191,0)</f>
        <v>0</v>
      </c>
      <c r="BJ191" s="18" t="s">
        <v>80</v>
      </c>
      <c r="BK191" s="147">
        <f>ROUND(I191*H191,2)</f>
        <v>0</v>
      </c>
      <c r="BL191" s="18" t="s">
        <v>496</v>
      </c>
      <c r="BM191" s="146" t="s">
        <v>687</v>
      </c>
    </row>
    <row r="192" spans="1:47" s="2" customFormat="1" ht="29.25">
      <c r="A192" s="30"/>
      <c r="B192" s="31"/>
      <c r="C192" s="30"/>
      <c r="D192" s="149" t="s">
        <v>170</v>
      </c>
      <c r="E192" s="30"/>
      <c r="F192" s="162" t="s">
        <v>688</v>
      </c>
      <c r="G192" s="30"/>
      <c r="H192" s="30"/>
      <c r="I192" s="30"/>
      <c r="J192" s="30"/>
      <c r="K192" s="30"/>
      <c r="L192" s="31"/>
      <c r="M192" s="163"/>
      <c r="N192" s="164"/>
      <c r="O192" s="51"/>
      <c r="P192" s="51"/>
      <c r="Q192" s="51"/>
      <c r="R192" s="51"/>
      <c r="S192" s="51"/>
      <c r="T192" s="52"/>
      <c r="U192" s="30"/>
      <c r="V192" s="30"/>
      <c r="W192" s="30"/>
      <c r="X192" s="30"/>
      <c r="Y192" s="30"/>
      <c r="Z192" s="30"/>
      <c r="AA192" s="30"/>
      <c r="AB192" s="30"/>
      <c r="AC192" s="30"/>
      <c r="AD192" s="30"/>
      <c r="AE192" s="30"/>
      <c r="AT192" s="18" t="s">
        <v>170</v>
      </c>
      <c r="AU192" s="18" t="s">
        <v>80</v>
      </c>
    </row>
    <row r="193" spans="1:31" s="2" customFormat="1" ht="6.95" customHeight="1">
      <c r="A193" s="30"/>
      <c r="B193" s="40"/>
      <c r="C193" s="41"/>
      <c r="D193" s="41"/>
      <c r="E193" s="41"/>
      <c r="F193" s="41"/>
      <c r="G193" s="41"/>
      <c r="H193" s="41"/>
      <c r="I193" s="41"/>
      <c r="J193" s="41"/>
      <c r="K193" s="41"/>
      <c r="L193" s="31"/>
      <c r="M193" s="30"/>
      <c r="O193" s="30"/>
      <c r="P193" s="30"/>
      <c r="Q193" s="30"/>
      <c r="R193" s="30"/>
      <c r="S193" s="30"/>
      <c r="T193" s="30"/>
      <c r="U193" s="30"/>
      <c r="V193" s="30"/>
      <c r="W193" s="30"/>
      <c r="X193" s="30"/>
      <c r="Y193" s="30"/>
      <c r="Z193" s="30"/>
      <c r="AA193" s="30"/>
      <c r="AB193" s="30"/>
      <c r="AC193" s="30"/>
      <c r="AD193" s="30"/>
      <c r="AE193" s="30"/>
    </row>
  </sheetData>
  <autoFilter ref="C88:K192"/>
  <mergeCells count="9">
    <mergeCell ref="E50:H50"/>
    <mergeCell ref="E79:H79"/>
    <mergeCell ref="E81:H81"/>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3" manualBreakCount="3">
    <brk id="115" min="2" max="16383" man="1"/>
    <brk id="152" min="2" max="16383" man="1"/>
    <brk id="167"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89"/>
  <sheetViews>
    <sheetView showGridLines="0" view="pageBreakPreview" zoomScale="90" zoomScaleSheetLayoutView="90" workbookViewId="0" topLeftCell="A77">
      <selection activeCell="W87" sqref="W8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17" t="s">
        <v>6</v>
      </c>
      <c r="M2" s="318"/>
      <c r="N2" s="318"/>
      <c r="O2" s="318"/>
      <c r="P2" s="318"/>
      <c r="Q2" s="318"/>
      <c r="R2" s="318"/>
      <c r="S2" s="318"/>
      <c r="T2" s="318"/>
      <c r="U2" s="318"/>
      <c r="V2" s="318"/>
      <c r="AT2" s="18" t="s">
        <v>95</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87" t="s">
        <v>11</v>
      </c>
      <c r="AT4" s="18" t="s">
        <v>4</v>
      </c>
    </row>
    <row r="5" spans="2:12" s="1" customFormat="1" ht="6.95" customHeight="1">
      <c r="B5" s="21"/>
      <c r="L5" s="21"/>
    </row>
    <row r="6" spans="2:12" s="1" customFormat="1" ht="12" customHeight="1">
      <c r="B6" s="21"/>
      <c r="D6" s="27" t="s">
        <v>14</v>
      </c>
      <c r="L6" s="21"/>
    </row>
    <row r="7" spans="2:12" s="1" customFormat="1" ht="23.25" customHeight="1">
      <c r="B7" s="21"/>
      <c r="E7" s="352" t="str">
        <f>'Rekapitulace stavby'!K6</f>
        <v>Modernizace prostor ambulancí chirurgického oddělení v suterénu budovy A - Nemocnice Nymburk, s.r.o.</v>
      </c>
      <c r="F7" s="353"/>
      <c r="G7" s="353"/>
      <c r="H7" s="353"/>
      <c r="L7" s="21"/>
    </row>
    <row r="8" spans="1:31" s="2" customFormat="1" ht="12" customHeight="1">
      <c r="A8" s="30"/>
      <c r="B8" s="31"/>
      <c r="C8" s="30"/>
      <c r="D8" s="27" t="s">
        <v>99</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42" t="s">
        <v>689</v>
      </c>
      <c r="F9" s="351"/>
      <c r="G9" s="351"/>
      <c r="H9" s="351"/>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16</v>
      </c>
      <c r="G11" s="30"/>
      <c r="H11" s="30"/>
      <c r="I11" s="27" t="s">
        <v>17</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19</v>
      </c>
      <c r="E12" s="30"/>
      <c r="F12" s="25" t="s">
        <v>20</v>
      </c>
      <c r="G12" s="30"/>
      <c r="H12" s="30"/>
      <c r="I12" s="27" t="s">
        <v>21</v>
      </c>
      <c r="J12" s="48">
        <f>'Rekapitulace stavby'!AN8</f>
        <v>44152</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24</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25</v>
      </c>
      <c r="F15" s="30"/>
      <c r="G15" s="30"/>
      <c r="H15" s="30"/>
      <c r="I15" s="27" t="s">
        <v>26</v>
      </c>
      <c r="J15" s="25" t="s">
        <v>27</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28</v>
      </c>
      <c r="E17" s="30"/>
      <c r="F17" s="30"/>
      <c r="G17" s="30"/>
      <c r="H17" s="30"/>
      <c r="I17" s="27" t="s">
        <v>23</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26" t="str">
        <f>'Rekapitulace stavby'!E14</f>
        <v xml:space="preserve"> </v>
      </c>
      <c r="F18" s="326"/>
      <c r="G18" s="326"/>
      <c r="H18" s="326"/>
      <c r="I18" s="27" t="s">
        <v>26</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30</v>
      </c>
      <c r="E20" s="30"/>
      <c r="F20" s="30"/>
      <c r="G20" s="30"/>
      <c r="H20" s="30"/>
      <c r="I20" s="27" t="s">
        <v>23</v>
      </c>
      <c r="J20" s="25" t="s">
        <v>31</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32</v>
      </c>
      <c r="F21" s="30"/>
      <c r="G21" s="30"/>
      <c r="H21" s="30"/>
      <c r="I21" s="27" t="s">
        <v>26</v>
      </c>
      <c r="J21" s="25" t="s">
        <v>33</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35</v>
      </c>
      <c r="E23" s="30"/>
      <c r="F23" s="30"/>
      <c r="G23" s="30"/>
      <c r="H23" s="30"/>
      <c r="I23" s="27" t="s">
        <v>23</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26</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28" t="s">
        <v>37</v>
      </c>
      <c r="F27" s="328"/>
      <c r="G27" s="328"/>
      <c r="H27" s="328"/>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38</v>
      </c>
      <c r="E30" s="30"/>
      <c r="F30" s="30"/>
      <c r="G30" s="30"/>
      <c r="H30" s="30"/>
      <c r="I30" s="30"/>
      <c r="J30" s="64">
        <f>ROUND(J81,2)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t="s">
        <v>39</v>
      </c>
      <c r="J32" s="34" t="s">
        <v>41</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42</v>
      </c>
      <c r="E33" s="27" t="s">
        <v>43</v>
      </c>
      <c r="F33" s="94">
        <f>ROUND((SUM(BE81:BE89)),2)</f>
        <v>0</v>
      </c>
      <c r="G33" s="30"/>
      <c r="H33" s="30"/>
      <c r="I33" s="95">
        <v>0.21</v>
      </c>
      <c r="J33" s="94">
        <f>ROUND(((SUM(BE81:BE89))*I33),2)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44</v>
      </c>
      <c r="F34" s="94">
        <f>ROUND((SUM(BF81:BF89)),2)</f>
        <v>0</v>
      </c>
      <c r="G34" s="30"/>
      <c r="H34" s="30"/>
      <c r="I34" s="95">
        <v>0.15</v>
      </c>
      <c r="J34" s="94">
        <f>ROUND(((SUM(BF81:BF89))*I34),2)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45</v>
      </c>
      <c r="F35" s="94">
        <f>ROUND((SUM(BG81:BG89)),2)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46</v>
      </c>
      <c r="F36" s="94">
        <f>ROUND((SUM(BH81:BH89)),2)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47</v>
      </c>
      <c r="F37" s="94">
        <f>ROUND((SUM(BI81:BI89)),2)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48</v>
      </c>
      <c r="E39" s="53"/>
      <c r="F39" s="53"/>
      <c r="G39" s="98" t="s">
        <v>49</v>
      </c>
      <c r="H39" s="99" t="s">
        <v>50</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101</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14</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352" t="str">
        <f>E7</f>
        <v>Modernizace prostor ambulancí chirurgického oddělení v suterénu budovy A - Nemocnice Nymburk, s.r.o.</v>
      </c>
      <c r="F48" s="353"/>
      <c r="G48" s="353"/>
      <c r="H48" s="353"/>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99</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42" t="str">
        <f>E9</f>
        <v>06 - Interiérové vybavení</v>
      </c>
      <c r="F50" s="351"/>
      <c r="G50" s="351"/>
      <c r="H50" s="351"/>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19</v>
      </c>
      <c r="D52" s="30"/>
      <c r="E52" s="30"/>
      <c r="F52" s="25" t="str">
        <f>F12</f>
        <v>Nymburk</v>
      </c>
      <c r="G52" s="30"/>
      <c r="H52" s="30"/>
      <c r="I52" s="27" t="s">
        <v>21</v>
      </c>
      <c r="J52" s="48">
        <f>IF(J12="","",J12)</f>
        <v>44152</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22</v>
      </c>
      <c r="D54" s="30"/>
      <c r="E54" s="30"/>
      <c r="F54" s="25" t="str">
        <f>E15</f>
        <v>Nemocnice Nymburk s.r.o.</v>
      </c>
      <c r="G54" s="30"/>
      <c r="H54" s="30"/>
      <c r="I54" s="27" t="s">
        <v>30</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28</v>
      </c>
      <c r="D55" s="30"/>
      <c r="E55" s="30"/>
      <c r="F55" s="25" t="str">
        <f>IF(E18="","",E18)</f>
        <v xml:space="preserve"> </v>
      </c>
      <c r="G55" s="30"/>
      <c r="H55" s="30"/>
      <c r="I55" s="27" t="s">
        <v>35</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102</v>
      </c>
      <c r="D57" s="96"/>
      <c r="E57" s="96"/>
      <c r="F57" s="96"/>
      <c r="G57" s="96"/>
      <c r="H57" s="96"/>
      <c r="I57" s="96"/>
      <c r="J57" s="103" t="s">
        <v>103</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70</v>
      </c>
      <c r="D59" s="30"/>
      <c r="E59" s="30"/>
      <c r="F59" s="30"/>
      <c r="G59" s="30"/>
      <c r="H59" s="30"/>
      <c r="I59" s="30"/>
      <c r="J59" s="64">
        <f>J81</f>
        <v>0</v>
      </c>
      <c r="K59" s="30"/>
      <c r="L59" s="88"/>
      <c r="S59" s="30"/>
      <c r="T59" s="30"/>
      <c r="U59" s="30"/>
      <c r="V59" s="30"/>
      <c r="W59" s="30"/>
      <c r="X59" s="30"/>
      <c r="Y59" s="30"/>
      <c r="Z59" s="30"/>
      <c r="AA59" s="30"/>
      <c r="AB59" s="30"/>
      <c r="AC59" s="30"/>
      <c r="AD59" s="30"/>
      <c r="AE59" s="30"/>
      <c r="AU59" s="18" t="s">
        <v>104</v>
      </c>
    </row>
    <row r="60" spans="2:12" s="9" customFormat="1" ht="24.95" customHeight="1">
      <c r="B60" s="105"/>
      <c r="D60" s="106" t="s">
        <v>111</v>
      </c>
      <c r="E60" s="107"/>
      <c r="F60" s="107"/>
      <c r="G60" s="107"/>
      <c r="H60" s="107"/>
      <c r="I60" s="107"/>
      <c r="J60" s="108">
        <f>J82</f>
        <v>0</v>
      </c>
      <c r="L60" s="105"/>
    </row>
    <row r="61" spans="2:12" s="10" customFormat="1" ht="19.9" customHeight="1">
      <c r="B61" s="109"/>
      <c r="D61" s="110" t="s">
        <v>113</v>
      </c>
      <c r="E61" s="111"/>
      <c r="F61" s="111"/>
      <c r="G61" s="111"/>
      <c r="H61" s="111"/>
      <c r="I61" s="111"/>
      <c r="J61" s="112">
        <f>J83</f>
        <v>0</v>
      </c>
      <c r="L61" s="109"/>
    </row>
    <row r="62" spans="1:31" s="2" customFormat="1" ht="21.75" customHeight="1">
      <c r="A62" s="30"/>
      <c r="B62" s="31"/>
      <c r="C62" s="30"/>
      <c r="D62" s="30"/>
      <c r="E62" s="30"/>
      <c r="F62" s="30"/>
      <c r="G62" s="30"/>
      <c r="H62" s="30"/>
      <c r="I62" s="30"/>
      <c r="J62" s="30"/>
      <c r="K62" s="30"/>
      <c r="L62" s="88"/>
      <c r="S62" s="30"/>
      <c r="T62" s="30"/>
      <c r="U62" s="30"/>
      <c r="V62" s="30"/>
      <c r="W62" s="30"/>
      <c r="X62" s="30"/>
      <c r="Y62" s="30"/>
      <c r="Z62" s="30"/>
      <c r="AA62" s="30"/>
      <c r="AB62" s="30"/>
      <c r="AC62" s="30"/>
      <c r="AD62" s="30"/>
      <c r="AE62" s="30"/>
    </row>
    <row r="63" spans="1:31" s="2" customFormat="1" ht="6.95" customHeight="1">
      <c r="A63" s="30"/>
      <c r="B63" s="40"/>
      <c r="C63" s="41"/>
      <c r="D63" s="41"/>
      <c r="E63" s="41"/>
      <c r="F63" s="41"/>
      <c r="G63" s="41"/>
      <c r="H63" s="41"/>
      <c r="I63" s="41"/>
      <c r="J63" s="41"/>
      <c r="K63" s="41"/>
      <c r="L63" s="88"/>
      <c r="S63" s="30"/>
      <c r="T63" s="30"/>
      <c r="U63" s="30"/>
      <c r="V63" s="30"/>
      <c r="W63" s="30"/>
      <c r="X63" s="30"/>
      <c r="Y63" s="30"/>
      <c r="Z63" s="30"/>
      <c r="AA63" s="30"/>
      <c r="AB63" s="30"/>
      <c r="AC63" s="30"/>
      <c r="AD63" s="30"/>
      <c r="AE63" s="30"/>
    </row>
    <row r="67" spans="1:31" s="2" customFormat="1" ht="6.95" customHeight="1">
      <c r="A67" s="30"/>
      <c r="B67" s="42"/>
      <c r="C67" s="43"/>
      <c r="D67" s="43"/>
      <c r="E67" s="43"/>
      <c r="F67" s="43"/>
      <c r="G67" s="43"/>
      <c r="H67" s="43"/>
      <c r="I67" s="43"/>
      <c r="J67" s="43"/>
      <c r="K67" s="43"/>
      <c r="L67" s="88"/>
      <c r="S67" s="30"/>
      <c r="T67" s="30"/>
      <c r="U67" s="30"/>
      <c r="V67" s="30"/>
      <c r="W67" s="30"/>
      <c r="X67" s="30"/>
      <c r="Y67" s="30"/>
      <c r="Z67" s="30"/>
      <c r="AA67" s="30"/>
      <c r="AB67" s="30"/>
      <c r="AC67" s="30"/>
      <c r="AD67" s="30"/>
      <c r="AE67" s="30"/>
    </row>
    <row r="68" spans="1:31" s="2" customFormat="1" ht="24.95" customHeight="1">
      <c r="A68" s="30"/>
      <c r="B68" s="31"/>
      <c r="C68" s="22" t="s">
        <v>118</v>
      </c>
      <c r="D68" s="30"/>
      <c r="E68" s="30"/>
      <c r="F68" s="30"/>
      <c r="G68" s="30"/>
      <c r="H68" s="30"/>
      <c r="I68" s="30"/>
      <c r="J68" s="30"/>
      <c r="K68" s="30"/>
      <c r="L68" s="88"/>
      <c r="S68" s="30"/>
      <c r="T68" s="30"/>
      <c r="U68" s="30"/>
      <c r="V68" s="30"/>
      <c r="W68" s="30"/>
      <c r="X68" s="30"/>
      <c r="Y68" s="30"/>
      <c r="Z68" s="30"/>
      <c r="AA68" s="30"/>
      <c r="AB68" s="30"/>
      <c r="AC68" s="30"/>
      <c r="AD68" s="30"/>
      <c r="AE68" s="30"/>
    </row>
    <row r="69" spans="1:31" s="2" customFormat="1" ht="6.95" customHeight="1">
      <c r="A69" s="30"/>
      <c r="B69" s="31"/>
      <c r="C69" s="30"/>
      <c r="D69" s="30"/>
      <c r="E69" s="30"/>
      <c r="F69" s="30"/>
      <c r="G69" s="30"/>
      <c r="H69" s="30"/>
      <c r="I69" s="30"/>
      <c r="J69" s="30"/>
      <c r="K69" s="30"/>
      <c r="L69" s="88"/>
      <c r="S69" s="30"/>
      <c r="T69" s="30"/>
      <c r="U69" s="30"/>
      <c r="V69" s="30"/>
      <c r="W69" s="30"/>
      <c r="X69" s="30"/>
      <c r="Y69" s="30"/>
      <c r="Z69" s="30"/>
      <c r="AA69" s="30"/>
      <c r="AB69" s="30"/>
      <c r="AC69" s="30"/>
      <c r="AD69" s="30"/>
      <c r="AE69" s="30"/>
    </row>
    <row r="70" spans="1:31" s="2" customFormat="1" ht="12" customHeight="1">
      <c r="A70" s="30"/>
      <c r="B70" s="31"/>
      <c r="C70" s="27" t="s">
        <v>14</v>
      </c>
      <c r="D70" s="30"/>
      <c r="E70" s="30"/>
      <c r="F70" s="30"/>
      <c r="G70" s="30"/>
      <c r="H70" s="30"/>
      <c r="I70" s="30"/>
      <c r="J70" s="30"/>
      <c r="K70" s="30"/>
      <c r="L70" s="88"/>
      <c r="S70" s="30"/>
      <c r="T70" s="30"/>
      <c r="U70" s="30"/>
      <c r="V70" s="30"/>
      <c r="W70" s="30"/>
      <c r="X70" s="30"/>
      <c r="Y70" s="30"/>
      <c r="Z70" s="30"/>
      <c r="AA70" s="30"/>
      <c r="AB70" s="30"/>
      <c r="AC70" s="30"/>
      <c r="AD70" s="30"/>
      <c r="AE70" s="30"/>
    </row>
    <row r="71" spans="1:31" s="2" customFormat="1" ht="23.25" customHeight="1">
      <c r="A71" s="30"/>
      <c r="B71" s="31"/>
      <c r="C71" s="30"/>
      <c r="D71" s="30"/>
      <c r="E71" s="352" t="str">
        <f>E7</f>
        <v>Modernizace prostor ambulancí chirurgického oddělení v suterénu budovy A - Nemocnice Nymburk, s.r.o.</v>
      </c>
      <c r="F71" s="353"/>
      <c r="G71" s="353"/>
      <c r="H71" s="353"/>
      <c r="I71" s="30"/>
      <c r="J71" s="30"/>
      <c r="K71" s="30"/>
      <c r="L71" s="88"/>
      <c r="S71" s="30"/>
      <c r="T71" s="30"/>
      <c r="U71" s="30"/>
      <c r="V71" s="30"/>
      <c r="W71" s="30"/>
      <c r="X71" s="30"/>
      <c r="Y71" s="30"/>
      <c r="Z71" s="30"/>
      <c r="AA71" s="30"/>
      <c r="AB71" s="30"/>
      <c r="AC71" s="30"/>
      <c r="AD71" s="30"/>
      <c r="AE71" s="30"/>
    </row>
    <row r="72" spans="1:31" s="2" customFormat="1" ht="12" customHeight="1">
      <c r="A72" s="30"/>
      <c r="B72" s="31"/>
      <c r="C72" s="27" t="s">
        <v>99</v>
      </c>
      <c r="D72" s="30"/>
      <c r="E72" s="30"/>
      <c r="F72" s="30"/>
      <c r="G72" s="30"/>
      <c r="H72" s="30"/>
      <c r="I72" s="30"/>
      <c r="J72" s="30"/>
      <c r="K72" s="30"/>
      <c r="L72" s="88"/>
      <c r="S72" s="30"/>
      <c r="T72" s="30"/>
      <c r="U72" s="30"/>
      <c r="V72" s="30"/>
      <c r="W72" s="30"/>
      <c r="X72" s="30"/>
      <c r="Y72" s="30"/>
      <c r="Z72" s="30"/>
      <c r="AA72" s="30"/>
      <c r="AB72" s="30"/>
      <c r="AC72" s="30"/>
      <c r="AD72" s="30"/>
      <c r="AE72" s="30"/>
    </row>
    <row r="73" spans="1:31" s="2" customFormat="1" ht="16.5" customHeight="1">
      <c r="A73" s="30"/>
      <c r="B73" s="31"/>
      <c r="C73" s="30"/>
      <c r="D73" s="30"/>
      <c r="E73" s="342" t="str">
        <f>E9</f>
        <v>06 - Interiérové vybavení</v>
      </c>
      <c r="F73" s="351"/>
      <c r="G73" s="351"/>
      <c r="H73" s="351"/>
      <c r="I73" s="30"/>
      <c r="J73" s="30"/>
      <c r="K73" s="30"/>
      <c r="L73" s="88"/>
      <c r="S73" s="30"/>
      <c r="T73" s="30"/>
      <c r="U73" s="30"/>
      <c r="V73" s="30"/>
      <c r="W73" s="30"/>
      <c r="X73" s="30"/>
      <c r="Y73" s="30"/>
      <c r="Z73" s="30"/>
      <c r="AA73" s="30"/>
      <c r="AB73" s="30"/>
      <c r="AC73" s="30"/>
      <c r="AD73" s="30"/>
      <c r="AE73" s="30"/>
    </row>
    <row r="74" spans="1:31" s="2" customFormat="1" ht="6.95" customHeight="1">
      <c r="A74" s="30"/>
      <c r="B74" s="31"/>
      <c r="C74" s="30"/>
      <c r="D74" s="30"/>
      <c r="E74" s="30"/>
      <c r="F74" s="30"/>
      <c r="G74" s="30"/>
      <c r="H74" s="30"/>
      <c r="I74" s="30"/>
      <c r="J74" s="30"/>
      <c r="K74" s="30"/>
      <c r="L74" s="88"/>
      <c r="S74" s="30"/>
      <c r="T74" s="30"/>
      <c r="U74" s="30"/>
      <c r="V74" s="30"/>
      <c r="W74" s="30"/>
      <c r="X74" s="30"/>
      <c r="Y74" s="30"/>
      <c r="Z74" s="30"/>
      <c r="AA74" s="30"/>
      <c r="AB74" s="30"/>
      <c r="AC74" s="30"/>
      <c r="AD74" s="30"/>
      <c r="AE74" s="30"/>
    </row>
    <row r="75" spans="1:31" s="2" customFormat="1" ht="12" customHeight="1">
      <c r="A75" s="30"/>
      <c r="B75" s="31"/>
      <c r="C75" s="27" t="s">
        <v>19</v>
      </c>
      <c r="D75" s="30"/>
      <c r="E75" s="30"/>
      <c r="F75" s="25" t="str">
        <f>F12</f>
        <v>Nymburk</v>
      </c>
      <c r="G75" s="30"/>
      <c r="H75" s="30"/>
      <c r="I75" s="27" t="s">
        <v>21</v>
      </c>
      <c r="J75" s="48">
        <f>IF(J12="","",J12)</f>
        <v>44152</v>
      </c>
      <c r="K75" s="30"/>
      <c r="L75" s="88"/>
      <c r="S75" s="30"/>
      <c r="T75" s="30"/>
      <c r="U75" s="30"/>
      <c r="V75" s="30"/>
      <c r="W75" s="30"/>
      <c r="X75" s="30"/>
      <c r="Y75" s="30"/>
      <c r="Z75" s="30"/>
      <c r="AA75" s="30"/>
      <c r="AB75" s="30"/>
      <c r="AC75" s="30"/>
      <c r="AD75" s="30"/>
      <c r="AE75" s="30"/>
    </row>
    <row r="76" spans="1:31" s="2" customFormat="1" ht="6.95" customHeight="1">
      <c r="A76" s="30"/>
      <c r="B76" s="31"/>
      <c r="C76" s="30"/>
      <c r="D76" s="30"/>
      <c r="E76" s="30"/>
      <c r="F76" s="30"/>
      <c r="G76" s="30"/>
      <c r="H76" s="30"/>
      <c r="I76" s="30"/>
      <c r="J76" s="30"/>
      <c r="K76" s="30"/>
      <c r="L76" s="88"/>
      <c r="S76" s="30"/>
      <c r="T76" s="30"/>
      <c r="U76" s="30"/>
      <c r="V76" s="30"/>
      <c r="W76" s="30"/>
      <c r="X76" s="30"/>
      <c r="Y76" s="30"/>
      <c r="Z76" s="30"/>
      <c r="AA76" s="30"/>
      <c r="AB76" s="30"/>
      <c r="AC76" s="30"/>
      <c r="AD76" s="30"/>
      <c r="AE76" s="30"/>
    </row>
    <row r="77" spans="1:31" s="2" customFormat="1" ht="25.7" customHeight="1">
      <c r="A77" s="30"/>
      <c r="B77" s="31"/>
      <c r="C77" s="27" t="s">
        <v>22</v>
      </c>
      <c r="D77" s="30"/>
      <c r="E77" s="30"/>
      <c r="F77" s="25" t="str">
        <f>E15</f>
        <v>Nemocnice Nymburk s.r.o.</v>
      </c>
      <c r="G77" s="30"/>
      <c r="H77" s="30"/>
      <c r="I77" s="27" t="s">
        <v>30</v>
      </c>
      <c r="J77" s="28" t="str">
        <f>E21</f>
        <v>Ing. arch. Pavel Petrák</v>
      </c>
      <c r="K77" s="30"/>
      <c r="L77" s="88"/>
      <c r="S77" s="30"/>
      <c r="T77" s="30"/>
      <c r="U77" s="30"/>
      <c r="V77" s="30"/>
      <c r="W77" s="30"/>
      <c r="X77" s="30"/>
      <c r="Y77" s="30"/>
      <c r="Z77" s="30"/>
      <c r="AA77" s="30"/>
      <c r="AB77" s="30"/>
      <c r="AC77" s="30"/>
      <c r="AD77" s="30"/>
      <c r="AE77" s="30"/>
    </row>
    <row r="78" spans="1:31" s="2" customFormat="1" ht="15.2" customHeight="1">
      <c r="A78" s="30"/>
      <c r="B78" s="31"/>
      <c r="C78" s="27" t="s">
        <v>28</v>
      </c>
      <c r="D78" s="30"/>
      <c r="E78" s="30"/>
      <c r="F78" s="25" t="str">
        <f>IF(E18="","",E18)</f>
        <v xml:space="preserve"> </v>
      </c>
      <c r="G78" s="30"/>
      <c r="H78" s="30"/>
      <c r="I78" s="27" t="s">
        <v>35</v>
      </c>
      <c r="J78" s="28" t="str">
        <f>E24</f>
        <v xml:space="preserve"> </v>
      </c>
      <c r="K78" s="30"/>
      <c r="L78" s="88"/>
      <c r="S78" s="30"/>
      <c r="T78" s="30"/>
      <c r="U78" s="30"/>
      <c r="V78" s="30"/>
      <c r="W78" s="30"/>
      <c r="X78" s="30"/>
      <c r="Y78" s="30"/>
      <c r="Z78" s="30"/>
      <c r="AA78" s="30"/>
      <c r="AB78" s="30"/>
      <c r="AC78" s="30"/>
      <c r="AD78" s="30"/>
      <c r="AE78" s="30"/>
    </row>
    <row r="79" spans="1:31" s="2" customFormat="1" ht="10.35" customHeight="1">
      <c r="A79" s="30"/>
      <c r="B79" s="31"/>
      <c r="C79" s="30"/>
      <c r="D79" s="30"/>
      <c r="E79" s="30"/>
      <c r="F79" s="30"/>
      <c r="G79" s="30"/>
      <c r="H79" s="30"/>
      <c r="I79" s="30"/>
      <c r="J79" s="30"/>
      <c r="K79" s="30"/>
      <c r="L79" s="88"/>
      <c r="S79" s="30"/>
      <c r="T79" s="30"/>
      <c r="U79" s="30"/>
      <c r="V79" s="30"/>
      <c r="W79" s="30"/>
      <c r="X79" s="30"/>
      <c r="Y79" s="30"/>
      <c r="Z79" s="30"/>
      <c r="AA79" s="30"/>
      <c r="AB79" s="30"/>
      <c r="AC79" s="30"/>
      <c r="AD79" s="30"/>
      <c r="AE79" s="30"/>
    </row>
    <row r="80" spans="1:31" s="11" customFormat="1" ht="29.25" customHeight="1">
      <c r="A80" s="113"/>
      <c r="B80" s="114"/>
      <c r="C80" s="115" t="s">
        <v>119</v>
      </c>
      <c r="D80" s="116" t="s">
        <v>57</v>
      </c>
      <c r="E80" s="116" t="s">
        <v>53</v>
      </c>
      <c r="F80" s="116" t="s">
        <v>54</v>
      </c>
      <c r="G80" s="116" t="s">
        <v>120</v>
      </c>
      <c r="H80" s="116" t="s">
        <v>121</v>
      </c>
      <c r="I80" s="116" t="s">
        <v>122</v>
      </c>
      <c r="J80" s="116" t="s">
        <v>103</v>
      </c>
      <c r="K80" s="117" t="s">
        <v>123</v>
      </c>
      <c r="L80" s="118"/>
      <c r="M80" s="55" t="s">
        <v>3</v>
      </c>
      <c r="N80" s="56" t="s">
        <v>42</v>
      </c>
      <c r="O80" s="56" t="s">
        <v>124</v>
      </c>
      <c r="P80" s="56" t="s">
        <v>125</v>
      </c>
      <c r="Q80" s="56" t="s">
        <v>126</v>
      </c>
      <c r="R80" s="56" t="s">
        <v>127</v>
      </c>
      <c r="S80" s="56" t="s">
        <v>128</v>
      </c>
      <c r="T80" s="57" t="s">
        <v>129</v>
      </c>
      <c r="U80" s="113"/>
      <c r="V80" s="113"/>
      <c r="W80" s="113"/>
      <c r="X80" s="113"/>
      <c r="Y80" s="113"/>
      <c r="Z80" s="113"/>
      <c r="AA80" s="113"/>
      <c r="AB80" s="113"/>
      <c r="AC80" s="113"/>
      <c r="AD80" s="113"/>
      <c r="AE80" s="113"/>
    </row>
    <row r="81" spans="1:63" s="2" customFormat="1" ht="22.9" customHeight="1">
      <c r="A81" s="30"/>
      <c r="B81" s="31"/>
      <c r="C81" s="62" t="s">
        <v>130</v>
      </c>
      <c r="D81" s="30"/>
      <c r="E81" s="30"/>
      <c r="F81" s="30"/>
      <c r="G81" s="30"/>
      <c r="H81" s="30"/>
      <c r="I81" s="30"/>
      <c r="J81" s="119">
        <f>J82</f>
        <v>0</v>
      </c>
      <c r="K81" s="30"/>
      <c r="L81" s="31"/>
      <c r="M81" s="58"/>
      <c r="N81" s="49"/>
      <c r="O81" s="59"/>
      <c r="P81" s="120" t="e">
        <f>P82</f>
        <v>#REF!</v>
      </c>
      <c r="Q81" s="59"/>
      <c r="R81" s="120" t="e">
        <f>R82</f>
        <v>#REF!</v>
      </c>
      <c r="S81" s="59"/>
      <c r="T81" s="121" t="e">
        <f>T82</f>
        <v>#REF!</v>
      </c>
      <c r="U81" s="30"/>
      <c r="V81" s="30"/>
      <c r="W81" s="30"/>
      <c r="X81" s="30"/>
      <c r="Y81" s="30"/>
      <c r="Z81" s="30"/>
      <c r="AA81" s="30"/>
      <c r="AB81" s="30"/>
      <c r="AC81" s="30"/>
      <c r="AD81" s="30"/>
      <c r="AE81" s="30"/>
      <c r="AT81" s="18" t="s">
        <v>71</v>
      </c>
      <c r="AU81" s="18" t="s">
        <v>104</v>
      </c>
      <c r="BK81" s="122" t="e">
        <f>BK82</f>
        <v>#REF!</v>
      </c>
    </row>
    <row r="82" spans="2:63" s="12" customFormat="1" ht="25.9" customHeight="1">
      <c r="B82" s="123"/>
      <c r="D82" s="124" t="s">
        <v>71</v>
      </c>
      <c r="E82" s="125" t="s">
        <v>213</v>
      </c>
      <c r="F82" s="125" t="s">
        <v>214</v>
      </c>
      <c r="J82" s="126">
        <f>J83</f>
        <v>0</v>
      </c>
      <c r="L82" s="123"/>
      <c r="M82" s="127"/>
      <c r="N82" s="128"/>
      <c r="O82" s="128"/>
      <c r="P82" s="129" t="e">
        <f>P83+#REF!</f>
        <v>#REF!</v>
      </c>
      <c r="Q82" s="128"/>
      <c r="R82" s="129" t="e">
        <f>R83+#REF!</f>
        <v>#REF!</v>
      </c>
      <c r="S82" s="128"/>
      <c r="T82" s="130" t="e">
        <f>T83+#REF!</f>
        <v>#REF!</v>
      </c>
      <c r="AR82" s="124" t="s">
        <v>82</v>
      </c>
      <c r="AT82" s="131" t="s">
        <v>71</v>
      </c>
      <c r="AU82" s="131" t="s">
        <v>72</v>
      </c>
      <c r="AY82" s="124" t="s">
        <v>133</v>
      </c>
      <c r="BK82" s="132" t="e">
        <f>BK83+#REF!</f>
        <v>#REF!</v>
      </c>
    </row>
    <row r="83" spans="2:63" s="12" customFormat="1" ht="22.9" customHeight="1">
      <c r="B83" s="123"/>
      <c r="D83" s="124" t="s">
        <v>71</v>
      </c>
      <c r="E83" s="133" t="s">
        <v>235</v>
      </c>
      <c r="F83" s="133" t="s">
        <v>236</v>
      </c>
      <c r="J83" s="134">
        <f>SUM(J84:J89)</f>
        <v>0</v>
      </c>
      <c r="L83" s="123"/>
      <c r="M83" s="127"/>
      <c r="N83" s="128"/>
      <c r="O83" s="128"/>
      <c r="P83" s="129">
        <f>SUM(P84:P89)</f>
        <v>0</v>
      </c>
      <c r="Q83" s="128"/>
      <c r="R83" s="129">
        <f>SUM(R84:R89)</f>
        <v>0</v>
      </c>
      <c r="S83" s="128"/>
      <c r="T83" s="130">
        <f>SUM(T84:T89)</f>
        <v>0</v>
      </c>
      <c r="AR83" s="124" t="s">
        <v>82</v>
      </c>
      <c r="AT83" s="131" t="s">
        <v>71</v>
      </c>
      <c r="AU83" s="131" t="s">
        <v>80</v>
      </c>
      <c r="AY83" s="124" t="s">
        <v>133</v>
      </c>
      <c r="BK83" s="132">
        <f>SUM(BK84:BK89)</f>
        <v>0</v>
      </c>
    </row>
    <row r="84" spans="1:65" s="2" customFormat="1" ht="169.5" customHeight="1">
      <c r="A84" s="30"/>
      <c r="B84" s="135"/>
      <c r="C84" s="136">
        <v>1</v>
      </c>
      <c r="D84" s="136" t="s">
        <v>136</v>
      </c>
      <c r="E84" s="137" t="s">
        <v>690</v>
      </c>
      <c r="F84" s="138" t="s">
        <v>1011</v>
      </c>
      <c r="G84" s="139" t="s">
        <v>404</v>
      </c>
      <c r="H84" s="140">
        <v>1</v>
      </c>
      <c r="I84" s="141"/>
      <c r="J84" s="141">
        <f>ROUND(I84*H84,2)</f>
        <v>0</v>
      </c>
      <c r="K84" s="138" t="s">
        <v>137</v>
      </c>
      <c r="L84" s="31"/>
      <c r="M84" s="142" t="s">
        <v>3</v>
      </c>
      <c r="N84" s="143" t="s">
        <v>43</v>
      </c>
      <c r="O84" s="144">
        <v>0</v>
      </c>
      <c r="P84" s="144">
        <f>O84*H84</f>
        <v>0</v>
      </c>
      <c r="Q84" s="144">
        <v>0</v>
      </c>
      <c r="R84" s="144">
        <f>Q84*H84</f>
        <v>0</v>
      </c>
      <c r="S84" s="144">
        <v>0</v>
      </c>
      <c r="T84" s="145">
        <f>S84*H84</f>
        <v>0</v>
      </c>
      <c r="U84" s="30"/>
      <c r="V84" s="30"/>
      <c r="W84" s="30"/>
      <c r="X84" s="30"/>
      <c r="Y84" s="30"/>
      <c r="Z84" s="30"/>
      <c r="AA84" s="30"/>
      <c r="AB84" s="30"/>
      <c r="AC84" s="30"/>
      <c r="AD84" s="30"/>
      <c r="AE84" s="30"/>
      <c r="AR84" s="146" t="s">
        <v>154</v>
      </c>
      <c r="AT84" s="146" t="s">
        <v>136</v>
      </c>
      <c r="AU84" s="146" t="s">
        <v>82</v>
      </c>
      <c r="AY84" s="18" t="s">
        <v>133</v>
      </c>
      <c r="BE84" s="147">
        <f>IF(N84="základní",J84,0)</f>
        <v>0</v>
      </c>
      <c r="BF84" s="147">
        <f>IF(N84="snížená",J84,0)</f>
        <v>0</v>
      </c>
      <c r="BG84" s="147">
        <f>IF(N84="zákl. přenesená",J84,0)</f>
        <v>0</v>
      </c>
      <c r="BH84" s="147">
        <f>IF(N84="sníž. přenesená",J84,0)</f>
        <v>0</v>
      </c>
      <c r="BI84" s="147">
        <f>IF(N84="nulová",J84,0)</f>
        <v>0</v>
      </c>
      <c r="BJ84" s="18" t="s">
        <v>80</v>
      </c>
      <c r="BK84" s="147">
        <f>ROUND(I84*H84,2)</f>
        <v>0</v>
      </c>
      <c r="BL84" s="18" t="s">
        <v>154</v>
      </c>
      <c r="BM84" s="146" t="s">
        <v>691</v>
      </c>
    </row>
    <row r="85" spans="1:47" s="2" customFormat="1" ht="29.25">
      <c r="A85" s="30"/>
      <c r="B85" s="31"/>
      <c r="C85" s="30"/>
      <c r="D85" s="149" t="s">
        <v>170</v>
      </c>
      <c r="E85" s="30"/>
      <c r="F85" s="162" t="s">
        <v>899</v>
      </c>
      <c r="G85" s="30"/>
      <c r="H85" s="30"/>
      <c r="I85" s="30"/>
      <c r="J85" s="30"/>
      <c r="K85" s="30"/>
      <c r="L85" s="31"/>
      <c r="M85" s="163"/>
      <c r="N85" s="164"/>
      <c r="O85" s="51"/>
      <c r="P85" s="51"/>
      <c r="Q85" s="51"/>
      <c r="R85" s="51"/>
      <c r="S85" s="51"/>
      <c r="T85" s="52"/>
      <c r="U85" s="30"/>
      <c r="V85" s="30"/>
      <c r="W85" s="30"/>
      <c r="X85" s="30"/>
      <c r="Y85" s="30"/>
      <c r="Z85" s="30"/>
      <c r="AA85" s="30"/>
      <c r="AB85" s="30"/>
      <c r="AC85" s="30"/>
      <c r="AD85" s="30"/>
      <c r="AE85" s="30"/>
      <c r="AT85" s="18" t="s">
        <v>170</v>
      </c>
      <c r="AU85" s="18" t="s">
        <v>82</v>
      </c>
    </row>
    <row r="86" spans="1:65" s="2" customFormat="1" ht="37.9" customHeight="1">
      <c r="A86" s="30"/>
      <c r="B86" s="135"/>
      <c r="C86" s="136">
        <v>2</v>
      </c>
      <c r="D86" s="136" t="s">
        <v>136</v>
      </c>
      <c r="E86" s="137" t="s">
        <v>252</v>
      </c>
      <c r="F86" s="138" t="s">
        <v>253</v>
      </c>
      <c r="G86" s="139" t="s">
        <v>229</v>
      </c>
      <c r="H86" s="140">
        <f>J84/100</f>
        <v>0</v>
      </c>
      <c r="I86" s="141"/>
      <c r="J86" s="141">
        <f>ROUND(I86*H86,2)</f>
        <v>0</v>
      </c>
      <c r="K86" s="138" t="s">
        <v>141</v>
      </c>
      <c r="L86" s="31"/>
      <c r="M86" s="142" t="s">
        <v>3</v>
      </c>
      <c r="N86" s="143" t="s">
        <v>43</v>
      </c>
      <c r="O86" s="144">
        <v>0</v>
      </c>
      <c r="P86" s="144">
        <f>O86*H86</f>
        <v>0</v>
      </c>
      <c r="Q86" s="144">
        <v>0</v>
      </c>
      <c r="R86" s="144">
        <f>Q86*H86</f>
        <v>0</v>
      </c>
      <c r="S86" s="144">
        <v>0</v>
      </c>
      <c r="T86" s="145">
        <f>S86*H86</f>
        <v>0</v>
      </c>
      <c r="U86" s="30"/>
      <c r="V86" s="147"/>
      <c r="W86" s="30"/>
      <c r="X86" s="30"/>
      <c r="Y86" s="30"/>
      <c r="Z86" s="30"/>
      <c r="AA86" s="30"/>
      <c r="AB86" s="30"/>
      <c r="AC86" s="30"/>
      <c r="AD86" s="30"/>
      <c r="AE86" s="30"/>
      <c r="AR86" s="146" t="s">
        <v>154</v>
      </c>
      <c r="AT86" s="146" t="s">
        <v>136</v>
      </c>
      <c r="AU86" s="146" t="s">
        <v>82</v>
      </c>
      <c r="AY86" s="18" t="s">
        <v>133</v>
      </c>
      <c r="BE86" s="147">
        <f>IF(N86="základní",J86,0)</f>
        <v>0</v>
      </c>
      <c r="BF86" s="147">
        <f>IF(N86="snížená",J86,0)</f>
        <v>0</v>
      </c>
      <c r="BG86" s="147">
        <f>IF(N86="zákl. přenesená",J86,0)</f>
        <v>0</v>
      </c>
      <c r="BH86" s="147">
        <f>IF(N86="sníž. přenesená",J86,0)</f>
        <v>0</v>
      </c>
      <c r="BI86" s="147">
        <f>IF(N86="nulová",J86,0)</f>
        <v>0</v>
      </c>
      <c r="BJ86" s="18" t="s">
        <v>80</v>
      </c>
      <c r="BK86" s="147">
        <f>ROUND(I86*H86,2)</f>
        <v>0</v>
      </c>
      <c r="BL86" s="18" t="s">
        <v>154</v>
      </c>
      <c r="BM86" s="146" t="s">
        <v>692</v>
      </c>
    </row>
    <row r="87" spans="1:47" s="2" customFormat="1" ht="126.75">
      <c r="A87" s="30"/>
      <c r="B87" s="31"/>
      <c r="C87" s="30"/>
      <c r="D87" s="149" t="s">
        <v>142</v>
      </c>
      <c r="E87" s="30"/>
      <c r="F87" s="162" t="s">
        <v>255</v>
      </c>
      <c r="G87" s="30"/>
      <c r="H87" s="30"/>
      <c r="I87" s="30"/>
      <c r="J87" s="30"/>
      <c r="K87" s="30"/>
      <c r="L87" s="31"/>
      <c r="M87" s="163"/>
      <c r="N87" s="164"/>
      <c r="O87" s="51"/>
      <c r="P87" s="51"/>
      <c r="Q87" s="51"/>
      <c r="R87" s="51"/>
      <c r="S87" s="51"/>
      <c r="T87" s="52"/>
      <c r="U87" s="30"/>
      <c r="V87" s="30"/>
      <c r="W87" s="30"/>
      <c r="X87" s="30"/>
      <c r="Y87" s="30"/>
      <c r="Z87" s="30"/>
      <c r="AA87" s="30"/>
      <c r="AB87" s="30"/>
      <c r="AC87" s="30"/>
      <c r="AD87" s="30"/>
      <c r="AE87" s="30"/>
      <c r="AT87" s="18" t="s">
        <v>142</v>
      </c>
      <c r="AU87" s="18" t="s">
        <v>82</v>
      </c>
    </row>
    <row r="88" spans="1:65" s="2" customFormat="1" ht="49.15" customHeight="1">
      <c r="A88" s="30"/>
      <c r="B88" s="135"/>
      <c r="C88" s="136">
        <v>3</v>
      </c>
      <c r="D88" s="136" t="s">
        <v>136</v>
      </c>
      <c r="E88" s="137" t="s">
        <v>256</v>
      </c>
      <c r="F88" s="138" t="s">
        <v>257</v>
      </c>
      <c r="G88" s="139" t="s">
        <v>229</v>
      </c>
      <c r="H88" s="140">
        <f>H86</f>
        <v>0</v>
      </c>
      <c r="I88" s="141"/>
      <c r="J88" s="141">
        <f>ROUND(I88*H88,2)</f>
        <v>0</v>
      </c>
      <c r="K88" s="138" t="s">
        <v>141</v>
      </c>
      <c r="L88" s="31"/>
      <c r="M88" s="142" t="s">
        <v>3</v>
      </c>
      <c r="N88" s="143" t="s">
        <v>43</v>
      </c>
      <c r="O88" s="144">
        <v>0</v>
      </c>
      <c r="P88" s="144">
        <f>O88*H88</f>
        <v>0</v>
      </c>
      <c r="Q88" s="144">
        <v>0</v>
      </c>
      <c r="R88" s="144">
        <f>Q88*H88</f>
        <v>0</v>
      </c>
      <c r="S88" s="144">
        <v>0</v>
      </c>
      <c r="T88" s="145">
        <f>S88*H88</f>
        <v>0</v>
      </c>
      <c r="U88" s="30"/>
      <c r="V88" s="30"/>
      <c r="W88" s="30"/>
      <c r="X88" s="30"/>
      <c r="Y88" s="30"/>
      <c r="Z88" s="30"/>
      <c r="AA88" s="30"/>
      <c r="AB88" s="30"/>
      <c r="AC88" s="30"/>
      <c r="AD88" s="30"/>
      <c r="AE88" s="30"/>
      <c r="AR88" s="146" t="s">
        <v>154</v>
      </c>
      <c r="AT88" s="146" t="s">
        <v>136</v>
      </c>
      <c r="AU88" s="146" t="s">
        <v>82</v>
      </c>
      <c r="AY88" s="18" t="s">
        <v>133</v>
      </c>
      <c r="BE88" s="147">
        <f>IF(N88="základní",J88,0)</f>
        <v>0</v>
      </c>
      <c r="BF88" s="147">
        <f>IF(N88="snížená",J88,0)</f>
        <v>0</v>
      </c>
      <c r="BG88" s="147">
        <f>IF(N88="zákl. přenesená",J88,0)</f>
        <v>0</v>
      </c>
      <c r="BH88" s="147">
        <f>IF(N88="sníž. přenesená",J88,0)</f>
        <v>0</v>
      </c>
      <c r="BI88" s="147">
        <f>IF(N88="nulová",J88,0)</f>
        <v>0</v>
      </c>
      <c r="BJ88" s="18" t="s">
        <v>80</v>
      </c>
      <c r="BK88" s="147">
        <f>ROUND(I88*H88,2)</f>
        <v>0</v>
      </c>
      <c r="BL88" s="18" t="s">
        <v>154</v>
      </c>
      <c r="BM88" s="146" t="s">
        <v>693</v>
      </c>
    </row>
    <row r="89" spans="1:47" s="2" customFormat="1" ht="126.75">
      <c r="A89" s="30"/>
      <c r="B89" s="31"/>
      <c r="C89" s="30"/>
      <c r="D89" s="149" t="s">
        <v>142</v>
      </c>
      <c r="E89" s="30"/>
      <c r="F89" s="162" t="s">
        <v>255</v>
      </c>
      <c r="G89" s="30"/>
      <c r="H89" s="30"/>
      <c r="I89" s="30"/>
      <c r="J89" s="30"/>
      <c r="K89" s="30"/>
      <c r="L89" s="31"/>
      <c r="M89" s="163"/>
      <c r="N89" s="164"/>
      <c r="O89" s="51"/>
      <c r="P89" s="51"/>
      <c r="Q89" s="51"/>
      <c r="R89" s="51"/>
      <c r="S89" s="51"/>
      <c r="T89" s="52"/>
      <c r="U89" s="30"/>
      <c r="V89" s="30"/>
      <c r="W89" s="30"/>
      <c r="X89" s="30"/>
      <c r="Y89" s="30"/>
      <c r="Z89" s="30"/>
      <c r="AA89" s="30"/>
      <c r="AB89" s="30"/>
      <c r="AC89" s="30"/>
      <c r="AD89" s="30"/>
      <c r="AE89" s="30"/>
      <c r="AT89" s="18" t="s">
        <v>142</v>
      </c>
      <c r="AU89" s="18" t="s">
        <v>82</v>
      </c>
    </row>
  </sheetData>
  <autoFilter ref="C80:K89"/>
  <mergeCells count="9">
    <mergeCell ref="E50:H50"/>
    <mergeCell ref="E71:H71"/>
    <mergeCell ref="E73:H73"/>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90"/>
  <sheetViews>
    <sheetView showGridLines="0" view="pageBreakPreview" zoomScaleSheetLayoutView="100" workbookViewId="0" topLeftCell="A59">
      <selection activeCell="W82" sqref="W8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6"/>
    </row>
    <row r="2" spans="12:46" s="1" customFormat="1" ht="36.95" customHeight="1">
      <c r="L2" s="317" t="s">
        <v>6</v>
      </c>
      <c r="M2" s="318"/>
      <c r="N2" s="318"/>
      <c r="O2" s="318"/>
      <c r="P2" s="318"/>
      <c r="Q2" s="318"/>
      <c r="R2" s="318"/>
      <c r="S2" s="318"/>
      <c r="T2" s="318"/>
      <c r="U2" s="318"/>
      <c r="V2" s="318"/>
      <c r="AT2" s="18" t="s">
        <v>97</v>
      </c>
    </row>
    <row r="3" spans="2:46" s="1" customFormat="1" ht="6.95" customHeight="1">
      <c r="B3" s="19"/>
      <c r="C3" s="20"/>
      <c r="D3" s="20"/>
      <c r="E3" s="20"/>
      <c r="F3" s="20"/>
      <c r="G3" s="20"/>
      <c r="H3" s="20"/>
      <c r="I3" s="20"/>
      <c r="J3" s="20"/>
      <c r="K3" s="20"/>
      <c r="L3" s="21"/>
      <c r="AT3" s="18" t="s">
        <v>82</v>
      </c>
    </row>
    <row r="4" spans="2:46" s="1" customFormat="1" ht="24.95" customHeight="1">
      <c r="B4" s="21"/>
      <c r="D4" s="22" t="s">
        <v>98</v>
      </c>
      <c r="L4" s="21"/>
      <c r="M4" s="87" t="s">
        <v>11</v>
      </c>
      <c r="AT4" s="18" t="s">
        <v>4</v>
      </c>
    </row>
    <row r="5" spans="2:12" s="1" customFormat="1" ht="6.95" customHeight="1">
      <c r="B5" s="21"/>
      <c r="L5" s="21"/>
    </row>
    <row r="6" spans="2:12" s="1" customFormat="1" ht="12" customHeight="1">
      <c r="B6" s="21"/>
      <c r="D6" s="27" t="s">
        <v>14</v>
      </c>
      <c r="L6" s="21"/>
    </row>
    <row r="7" spans="2:12" s="1" customFormat="1" ht="23.25" customHeight="1">
      <c r="B7" s="21"/>
      <c r="E7" s="352" t="str">
        <f>'Rekapitulace stavby'!K6</f>
        <v>Modernizace prostor ambulancí chirurgického oddělení v suterénu budovy A - Nemocnice Nymburk, s.r.o.</v>
      </c>
      <c r="F7" s="353"/>
      <c r="G7" s="353"/>
      <c r="H7" s="353"/>
      <c r="L7" s="21"/>
    </row>
    <row r="8" spans="1:31" s="2" customFormat="1" ht="12" customHeight="1">
      <c r="A8" s="30"/>
      <c r="B8" s="31"/>
      <c r="C8" s="30"/>
      <c r="D8" s="27" t="s">
        <v>99</v>
      </c>
      <c r="E8" s="30"/>
      <c r="F8" s="30"/>
      <c r="G8" s="30"/>
      <c r="H8" s="30"/>
      <c r="I8" s="30"/>
      <c r="J8" s="30"/>
      <c r="K8" s="30"/>
      <c r="L8" s="88"/>
      <c r="S8" s="30"/>
      <c r="T8" s="30"/>
      <c r="U8" s="30"/>
      <c r="V8" s="30"/>
      <c r="W8" s="30"/>
      <c r="X8" s="30"/>
      <c r="Y8" s="30"/>
      <c r="Z8" s="30"/>
      <c r="AA8" s="30"/>
      <c r="AB8" s="30"/>
      <c r="AC8" s="30"/>
      <c r="AD8" s="30"/>
      <c r="AE8" s="30"/>
    </row>
    <row r="9" spans="1:31" s="2" customFormat="1" ht="16.5" customHeight="1">
      <c r="A9" s="30"/>
      <c r="B9" s="31"/>
      <c r="C9" s="30"/>
      <c r="D9" s="30"/>
      <c r="E9" s="342" t="s">
        <v>694</v>
      </c>
      <c r="F9" s="351"/>
      <c r="G9" s="351"/>
      <c r="H9" s="351"/>
      <c r="I9" s="30"/>
      <c r="J9" s="30"/>
      <c r="K9" s="30"/>
      <c r="L9" s="88"/>
      <c r="S9" s="30"/>
      <c r="T9" s="30"/>
      <c r="U9" s="30"/>
      <c r="V9" s="30"/>
      <c r="W9" s="30"/>
      <c r="X9" s="30"/>
      <c r="Y9" s="30"/>
      <c r="Z9" s="30"/>
      <c r="AA9" s="30"/>
      <c r="AB9" s="30"/>
      <c r="AC9" s="30"/>
      <c r="AD9" s="30"/>
      <c r="AE9" s="30"/>
    </row>
    <row r="10" spans="1:31" s="2" customFormat="1" ht="12">
      <c r="A10" s="30"/>
      <c r="B10" s="31"/>
      <c r="C10" s="30"/>
      <c r="D10" s="30"/>
      <c r="E10" s="30"/>
      <c r="F10" s="30"/>
      <c r="G10" s="30"/>
      <c r="H10" s="30"/>
      <c r="I10" s="30"/>
      <c r="J10" s="30"/>
      <c r="K10" s="30"/>
      <c r="L10" s="88"/>
      <c r="S10" s="30"/>
      <c r="T10" s="30"/>
      <c r="U10" s="30"/>
      <c r="V10" s="30"/>
      <c r="W10" s="30"/>
      <c r="X10" s="30"/>
      <c r="Y10" s="30"/>
      <c r="Z10" s="30"/>
      <c r="AA10" s="30"/>
      <c r="AB10" s="30"/>
      <c r="AC10" s="30"/>
      <c r="AD10" s="30"/>
      <c r="AE10" s="30"/>
    </row>
    <row r="11" spans="1:31" s="2" customFormat="1" ht="12" customHeight="1">
      <c r="A11" s="30"/>
      <c r="B11" s="31"/>
      <c r="C11" s="30"/>
      <c r="D11" s="27" t="s">
        <v>15</v>
      </c>
      <c r="E11" s="30"/>
      <c r="F11" s="25" t="s">
        <v>16</v>
      </c>
      <c r="G11" s="30"/>
      <c r="H11" s="30"/>
      <c r="I11" s="27" t="s">
        <v>17</v>
      </c>
      <c r="J11" s="25" t="s">
        <v>3</v>
      </c>
      <c r="K11" s="30"/>
      <c r="L11" s="88"/>
      <c r="S11" s="30"/>
      <c r="T11" s="30"/>
      <c r="U11" s="30"/>
      <c r="V11" s="30"/>
      <c r="W11" s="30"/>
      <c r="X11" s="30"/>
      <c r="Y11" s="30"/>
      <c r="Z11" s="30"/>
      <c r="AA11" s="30"/>
      <c r="AB11" s="30"/>
      <c r="AC11" s="30"/>
      <c r="AD11" s="30"/>
      <c r="AE11" s="30"/>
    </row>
    <row r="12" spans="1:31" s="2" customFormat="1" ht="12" customHeight="1">
      <c r="A12" s="30"/>
      <c r="B12" s="31"/>
      <c r="C12" s="30"/>
      <c r="D12" s="27" t="s">
        <v>19</v>
      </c>
      <c r="E12" s="30"/>
      <c r="F12" s="25" t="s">
        <v>20</v>
      </c>
      <c r="G12" s="30"/>
      <c r="H12" s="30"/>
      <c r="I12" s="27" t="s">
        <v>21</v>
      </c>
      <c r="J12" s="48">
        <f>'Rekapitulace stavby'!AN8</f>
        <v>44152</v>
      </c>
      <c r="K12" s="30"/>
      <c r="L12" s="88"/>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88"/>
      <c r="S13" s="30"/>
      <c r="T13" s="30"/>
      <c r="U13" s="30"/>
      <c r="V13" s="30"/>
      <c r="W13" s="30"/>
      <c r="X13" s="30"/>
      <c r="Y13" s="30"/>
      <c r="Z13" s="30"/>
      <c r="AA13" s="30"/>
      <c r="AB13" s="30"/>
      <c r="AC13" s="30"/>
      <c r="AD13" s="30"/>
      <c r="AE13" s="30"/>
    </row>
    <row r="14" spans="1:31" s="2" customFormat="1" ht="12" customHeight="1">
      <c r="A14" s="30"/>
      <c r="B14" s="31"/>
      <c r="C14" s="30"/>
      <c r="D14" s="27" t="s">
        <v>22</v>
      </c>
      <c r="E14" s="30"/>
      <c r="F14" s="30"/>
      <c r="G14" s="30"/>
      <c r="H14" s="30"/>
      <c r="I14" s="27" t="s">
        <v>23</v>
      </c>
      <c r="J14" s="25" t="s">
        <v>24</v>
      </c>
      <c r="K14" s="30"/>
      <c r="L14" s="88"/>
      <c r="S14" s="30"/>
      <c r="T14" s="30"/>
      <c r="U14" s="30"/>
      <c r="V14" s="30"/>
      <c r="W14" s="30"/>
      <c r="X14" s="30"/>
      <c r="Y14" s="30"/>
      <c r="Z14" s="30"/>
      <c r="AA14" s="30"/>
      <c r="AB14" s="30"/>
      <c r="AC14" s="30"/>
      <c r="AD14" s="30"/>
      <c r="AE14" s="30"/>
    </row>
    <row r="15" spans="1:31" s="2" customFormat="1" ht="18" customHeight="1">
      <c r="A15" s="30"/>
      <c r="B15" s="31"/>
      <c r="C15" s="30"/>
      <c r="D15" s="30"/>
      <c r="E15" s="25" t="s">
        <v>25</v>
      </c>
      <c r="F15" s="30"/>
      <c r="G15" s="30"/>
      <c r="H15" s="30"/>
      <c r="I15" s="27" t="s">
        <v>26</v>
      </c>
      <c r="J15" s="25" t="s">
        <v>27</v>
      </c>
      <c r="K15" s="30"/>
      <c r="L15" s="88"/>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88"/>
      <c r="S16" s="30"/>
      <c r="T16" s="30"/>
      <c r="U16" s="30"/>
      <c r="V16" s="30"/>
      <c r="W16" s="30"/>
      <c r="X16" s="30"/>
      <c r="Y16" s="30"/>
      <c r="Z16" s="30"/>
      <c r="AA16" s="30"/>
      <c r="AB16" s="30"/>
      <c r="AC16" s="30"/>
      <c r="AD16" s="30"/>
      <c r="AE16" s="30"/>
    </row>
    <row r="17" spans="1:31" s="2" customFormat="1" ht="12" customHeight="1">
      <c r="A17" s="30"/>
      <c r="B17" s="31"/>
      <c r="C17" s="30"/>
      <c r="D17" s="27" t="s">
        <v>28</v>
      </c>
      <c r="E17" s="30"/>
      <c r="F17" s="30"/>
      <c r="G17" s="30"/>
      <c r="H17" s="30"/>
      <c r="I17" s="27" t="s">
        <v>23</v>
      </c>
      <c r="J17" s="25" t="str">
        <f>'Rekapitulace stavby'!AN13</f>
        <v/>
      </c>
      <c r="K17" s="30"/>
      <c r="L17" s="88"/>
      <c r="S17" s="30"/>
      <c r="T17" s="30"/>
      <c r="U17" s="30"/>
      <c r="V17" s="30"/>
      <c r="W17" s="30"/>
      <c r="X17" s="30"/>
      <c r="Y17" s="30"/>
      <c r="Z17" s="30"/>
      <c r="AA17" s="30"/>
      <c r="AB17" s="30"/>
      <c r="AC17" s="30"/>
      <c r="AD17" s="30"/>
      <c r="AE17" s="30"/>
    </row>
    <row r="18" spans="1:31" s="2" customFormat="1" ht="18" customHeight="1">
      <c r="A18" s="30"/>
      <c r="B18" s="31"/>
      <c r="C18" s="30"/>
      <c r="D18" s="30"/>
      <c r="E18" s="326" t="str">
        <f>'Rekapitulace stavby'!E14</f>
        <v xml:space="preserve"> </v>
      </c>
      <c r="F18" s="326"/>
      <c r="G18" s="326"/>
      <c r="H18" s="326"/>
      <c r="I18" s="27" t="s">
        <v>26</v>
      </c>
      <c r="J18" s="25" t="str">
        <f>'Rekapitulace stavby'!AN14</f>
        <v/>
      </c>
      <c r="K18" s="30"/>
      <c r="L18" s="88"/>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88"/>
      <c r="S19" s="30"/>
      <c r="T19" s="30"/>
      <c r="U19" s="30"/>
      <c r="V19" s="30"/>
      <c r="W19" s="30"/>
      <c r="X19" s="30"/>
      <c r="Y19" s="30"/>
      <c r="Z19" s="30"/>
      <c r="AA19" s="30"/>
      <c r="AB19" s="30"/>
      <c r="AC19" s="30"/>
      <c r="AD19" s="30"/>
      <c r="AE19" s="30"/>
    </row>
    <row r="20" spans="1:31" s="2" customFormat="1" ht="12" customHeight="1">
      <c r="A20" s="30"/>
      <c r="B20" s="31"/>
      <c r="C20" s="30"/>
      <c r="D20" s="27" t="s">
        <v>30</v>
      </c>
      <c r="E20" s="30"/>
      <c r="F20" s="30"/>
      <c r="G20" s="30"/>
      <c r="H20" s="30"/>
      <c r="I20" s="27" t="s">
        <v>23</v>
      </c>
      <c r="J20" s="25" t="s">
        <v>31</v>
      </c>
      <c r="K20" s="30"/>
      <c r="L20" s="88"/>
      <c r="S20" s="30"/>
      <c r="T20" s="30"/>
      <c r="U20" s="30"/>
      <c r="V20" s="30"/>
      <c r="W20" s="30"/>
      <c r="X20" s="30"/>
      <c r="Y20" s="30"/>
      <c r="Z20" s="30"/>
      <c r="AA20" s="30"/>
      <c r="AB20" s="30"/>
      <c r="AC20" s="30"/>
      <c r="AD20" s="30"/>
      <c r="AE20" s="30"/>
    </row>
    <row r="21" spans="1:31" s="2" customFormat="1" ht="18" customHeight="1">
      <c r="A21" s="30"/>
      <c r="B21" s="31"/>
      <c r="C21" s="30"/>
      <c r="D21" s="30"/>
      <c r="E21" s="25" t="s">
        <v>32</v>
      </c>
      <c r="F21" s="30"/>
      <c r="G21" s="30"/>
      <c r="H21" s="30"/>
      <c r="I21" s="27" t="s">
        <v>26</v>
      </c>
      <c r="J21" s="25" t="s">
        <v>33</v>
      </c>
      <c r="K21" s="30"/>
      <c r="L21" s="88"/>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88"/>
      <c r="S22" s="30"/>
      <c r="T22" s="30"/>
      <c r="U22" s="30"/>
      <c r="V22" s="30"/>
      <c r="W22" s="30"/>
      <c r="X22" s="30"/>
      <c r="Y22" s="30"/>
      <c r="Z22" s="30"/>
      <c r="AA22" s="30"/>
      <c r="AB22" s="30"/>
      <c r="AC22" s="30"/>
      <c r="AD22" s="30"/>
      <c r="AE22" s="30"/>
    </row>
    <row r="23" spans="1:31" s="2" customFormat="1" ht="12" customHeight="1">
      <c r="A23" s="30"/>
      <c r="B23" s="31"/>
      <c r="C23" s="30"/>
      <c r="D23" s="27" t="s">
        <v>35</v>
      </c>
      <c r="E23" s="30"/>
      <c r="F23" s="30"/>
      <c r="G23" s="30"/>
      <c r="H23" s="30"/>
      <c r="I23" s="27" t="s">
        <v>23</v>
      </c>
      <c r="J23" s="25" t="str">
        <f>IF('Rekapitulace stavby'!AN19="","",'Rekapitulace stavby'!AN19)</f>
        <v/>
      </c>
      <c r="K23" s="30"/>
      <c r="L23" s="88"/>
      <c r="S23" s="30"/>
      <c r="T23" s="30"/>
      <c r="U23" s="30"/>
      <c r="V23" s="30"/>
      <c r="W23" s="30"/>
      <c r="X23" s="30"/>
      <c r="Y23" s="30"/>
      <c r="Z23" s="30"/>
      <c r="AA23" s="30"/>
      <c r="AB23" s="30"/>
      <c r="AC23" s="30"/>
      <c r="AD23" s="30"/>
      <c r="AE23" s="30"/>
    </row>
    <row r="24" spans="1:31" s="2" customFormat="1" ht="18" customHeight="1">
      <c r="A24" s="30"/>
      <c r="B24" s="31"/>
      <c r="C24" s="30"/>
      <c r="D24" s="30"/>
      <c r="E24" s="25" t="str">
        <f>IF('Rekapitulace stavby'!E20="","",'Rekapitulace stavby'!E20)</f>
        <v xml:space="preserve"> </v>
      </c>
      <c r="F24" s="30"/>
      <c r="G24" s="30"/>
      <c r="H24" s="30"/>
      <c r="I24" s="27" t="s">
        <v>26</v>
      </c>
      <c r="J24" s="25" t="str">
        <f>IF('Rekapitulace stavby'!AN20="","",'Rekapitulace stavby'!AN20)</f>
        <v/>
      </c>
      <c r="K24" s="30"/>
      <c r="L24" s="88"/>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88"/>
      <c r="S25" s="30"/>
      <c r="T25" s="30"/>
      <c r="U25" s="30"/>
      <c r="V25" s="30"/>
      <c r="W25" s="30"/>
      <c r="X25" s="30"/>
      <c r="Y25" s="30"/>
      <c r="Z25" s="30"/>
      <c r="AA25" s="30"/>
      <c r="AB25" s="30"/>
      <c r="AC25" s="30"/>
      <c r="AD25" s="30"/>
      <c r="AE25" s="30"/>
    </row>
    <row r="26" spans="1:31" s="2" customFormat="1" ht="12" customHeight="1">
      <c r="A26" s="30"/>
      <c r="B26" s="31"/>
      <c r="C26" s="30"/>
      <c r="D26" s="27" t="s">
        <v>36</v>
      </c>
      <c r="E26" s="30"/>
      <c r="F26" s="30"/>
      <c r="G26" s="30"/>
      <c r="H26" s="30"/>
      <c r="I26" s="30"/>
      <c r="J26" s="30"/>
      <c r="K26" s="30"/>
      <c r="L26" s="88"/>
      <c r="S26" s="30"/>
      <c r="T26" s="30"/>
      <c r="U26" s="30"/>
      <c r="V26" s="30"/>
      <c r="W26" s="30"/>
      <c r="X26" s="30"/>
      <c r="Y26" s="30"/>
      <c r="Z26" s="30"/>
      <c r="AA26" s="30"/>
      <c r="AB26" s="30"/>
      <c r="AC26" s="30"/>
      <c r="AD26" s="30"/>
      <c r="AE26" s="30"/>
    </row>
    <row r="27" spans="1:31" s="8" customFormat="1" ht="83.25" customHeight="1">
      <c r="A27" s="89"/>
      <c r="B27" s="90"/>
      <c r="C27" s="89"/>
      <c r="D27" s="89"/>
      <c r="E27" s="328" t="s">
        <v>37</v>
      </c>
      <c r="F27" s="328"/>
      <c r="G27" s="328"/>
      <c r="H27" s="328"/>
      <c r="I27" s="89"/>
      <c r="J27" s="89"/>
      <c r="K27" s="89"/>
      <c r="L27" s="91"/>
      <c r="S27" s="89"/>
      <c r="T27" s="89"/>
      <c r="U27" s="89"/>
      <c r="V27" s="89"/>
      <c r="W27" s="89"/>
      <c r="X27" s="89"/>
      <c r="Y27" s="89"/>
      <c r="Z27" s="89"/>
      <c r="AA27" s="89"/>
      <c r="AB27" s="89"/>
      <c r="AC27" s="89"/>
      <c r="AD27" s="89"/>
      <c r="AE27" s="89"/>
    </row>
    <row r="28" spans="1:31" s="2" customFormat="1" ht="6.95" customHeight="1">
      <c r="A28" s="30"/>
      <c r="B28" s="31"/>
      <c r="C28" s="30"/>
      <c r="D28" s="30"/>
      <c r="E28" s="30"/>
      <c r="F28" s="30"/>
      <c r="G28" s="30"/>
      <c r="H28" s="30"/>
      <c r="I28" s="30"/>
      <c r="J28" s="30"/>
      <c r="K28" s="30"/>
      <c r="L28" s="88"/>
      <c r="S28" s="30"/>
      <c r="T28" s="30"/>
      <c r="U28" s="30"/>
      <c r="V28" s="30"/>
      <c r="W28" s="30"/>
      <c r="X28" s="30"/>
      <c r="Y28" s="30"/>
      <c r="Z28" s="30"/>
      <c r="AA28" s="30"/>
      <c r="AB28" s="30"/>
      <c r="AC28" s="30"/>
      <c r="AD28" s="30"/>
      <c r="AE28" s="30"/>
    </row>
    <row r="29" spans="1:31" s="2" customFormat="1" ht="6.95" customHeight="1">
      <c r="A29" s="30"/>
      <c r="B29" s="31"/>
      <c r="C29" s="30"/>
      <c r="D29" s="59"/>
      <c r="E29" s="59"/>
      <c r="F29" s="59"/>
      <c r="G29" s="59"/>
      <c r="H29" s="59"/>
      <c r="I29" s="59"/>
      <c r="J29" s="59"/>
      <c r="K29" s="59"/>
      <c r="L29" s="88"/>
      <c r="S29" s="30"/>
      <c r="T29" s="30"/>
      <c r="U29" s="30"/>
      <c r="V29" s="30"/>
      <c r="W29" s="30"/>
      <c r="X29" s="30"/>
      <c r="Y29" s="30"/>
      <c r="Z29" s="30"/>
      <c r="AA29" s="30"/>
      <c r="AB29" s="30"/>
      <c r="AC29" s="30"/>
      <c r="AD29" s="30"/>
      <c r="AE29" s="30"/>
    </row>
    <row r="30" spans="1:31" s="2" customFormat="1" ht="25.35" customHeight="1">
      <c r="A30" s="30"/>
      <c r="B30" s="31"/>
      <c r="C30" s="30"/>
      <c r="D30" s="92" t="s">
        <v>38</v>
      </c>
      <c r="E30" s="30"/>
      <c r="F30" s="30"/>
      <c r="G30" s="30"/>
      <c r="H30" s="30"/>
      <c r="I30" s="30"/>
      <c r="J30" s="64">
        <f>ROUND(J82,2)</f>
        <v>0</v>
      </c>
      <c r="K30" s="30"/>
      <c r="L30" s="88"/>
      <c r="S30" s="30"/>
      <c r="T30" s="30"/>
      <c r="U30" s="30"/>
      <c r="V30" s="30"/>
      <c r="W30" s="30"/>
      <c r="X30" s="30"/>
      <c r="Y30" s="30"/>
      <c r="Z30" s="30"/>
      <c r="AA30" s="30"/>
      <c r="AB30" s="30"/>
      <c r="AC30" s="30"/>
      <c r="AD30" s="30"/>
      <c r="AE30" s="30"/>
    </row>
    <row r="31" spans="1:31" s="2" customFormat="1" ht="6.95" customHeight="1">
      <c r="A31" s="30"/>
      <c r="B31" s="31"/>
      <c r="C31" s="30"/>
      <c r="D31" s="59"/>
      <c r="E31" s="59"/>
      <c r="F31" s="59"/>
      <c r="G31" s="59"/>
      <c r="H31" s="59"/>
      <c r="I31" s="59"/>
      <c r="J31" s="59"/>
      <c r="K31" s="59"/>
      <c r="L31" s="88"/>
      <c r="S31" s="30"/>
      <c r="T31" s="30"/>
      <c r="U31" s="30"/>
      <c r="V31" s="30"/>
      <c r="W31" s="30"/>
      <c r="X31" s="30"/>
      <c r="Y31" s="30"/>
      <c r="Z31" s="30"/>
      <c r="AA31" s="30"/>
      <c r="AB31" s="30"/>
      <c r="AC31" s="30"/>
      <c r="AD31" s="30"/>
      <c r="AE31" s="30"/>
    </row>
    <row r="32" spans="1:31" s="2" customFormat="1" ht="14.45" customHeight="1">
      <c r="A32" s="30"/>
      <c r="B32" s="31"/>
      <c r="C32" s="30"/>
      <c r="D32" s="30"/>
      <c r="E32" s="30"/>
      <c r="F32" s="34" t="s">
        <v>40</v>
      </c>
      <c r="G32" s="30"/>
      <c r="H32" s="30"/>
      <c r="I32" s="34" t="s">
        <v>39</v>
      </c>
      <c r="J32" s="34" t="s">
        <v>41</v>
      </c>
      <c r="K32" s="30"/>
      <c r="L32" s="88"/>
      <c r="S32" s="30"/>
      <c r="T32" s="30"/>
      <c r="U32" s="30"/>
      <c r="V32" s="30"/>
      <c r="W32" s="30"/>
      <c r="X32" s="30"/>
      <c r="Y32" s="30"/>
      <c r="Z32" s="30"/>
      <c r="AA32" s="30"/>
      <c r="AB32" s="30"/>
      <c r="AC32" s="30"/>
      <c r="AD32" s="30"/>
      <c r="AE32" s="30"/>
    </row>
    <row r="33" spans="1:31" s="2" customFormat="1" ht="14.45" customHeight="1">
      <c r="A33" s="30"/>
      <c r="B33" s="31"/>
      <c r="C33" s="30"/>
      <c r="D33" s="93" t="s">
        <v>42</v>
      </c>
      <c r="E33" s="27" t="s">
        <v>43</v>
      </c>
      <c r="F33" s="94">
        <f>ROUND((SUM(BE82:BE89)),2)</f>
        <v>0</v>
      </c>
      <c r="G33" s="30"/>
      <c r="H33" s="30"/>
      <c r="I33" s="95">
        <v>0.21</v>
      </c>
      <c r="J33" s="94">
        <f>ROUND(((SUM(BE82:BE89))*I33),2)</f>
        <v>0</v>
      </c>
      <c r="K33" s="30"/>
      <c r="L33" s="88"/>
      <c r="S33" s="30"/>
      <c r="T33" s="30"/>
      <c r="U33" s="30"/>
      <c r="V33" s="30"/>
      <c r="W33" s="30"/>
      <c r="X33" s="30"/>
      <c r="Y33" s="30"/>
      <c r="Z33" s="30"/>
      <c r="AA33" s="30"/>
      <c r="AB33" s="30"/>
      <c r="AC33" s="30"/>
      <c r="AD33" s="30"/>
      <c r="AE33" s="30"/>
    </row>
    <row r="34" spans="1:31" s="2" customFormat="1" ht="14.45" customHeight="1">
      <c r="A34" s="30"/>
      <c r="B34" s="31"/>
      <c r="C34" s="30"/>
      <c r="D34" s="30"/>
      <c r="E34" s="27" t="s">
        <v>44</v>
      </c>
      <c r="F34" s="94">
        <f>ROUND((SUM(BF82:BF89)),2)</f>
        <v>0</v>
      </c>
      <c r="G34" s="30"/>
      <c r="H34" s="30"/>
      <c r="I34" s="95">
        <v>0.15</v>
      </c>
      <c r="J34" s="94">
        <f>ROUND(((SUM(BF82:BF89))*I34),2)</f>
        <v>0</v>
      </c>
      <c r="K34" s="30"/>
      <c r="L34" s="88"/>
      <c r="S34" s="30"/>
      <c r="T34" s="30"/>
      <c r="U34" s="30"/>
      <c r="V34" s="30"/>
      <c r="W34" s="30"/>
      <c r="X34" s="30"/>
      <c r="Y34" s="30"/>
      <c r="Z34" s="30"/>
      <c r="AA34" s="30"/>
      <c r="AB34" s="30"/>
      <c r="AC34" s="30"/>
      <c r="AD34" s="30"/>
      <c r="AE34" s="30"/>
    </row>
    <row r="35" spans="1:31" s="2" customFormat="1" ht="14.45" customHeight="1" hidden="1">
      <c r="A35" s="30"/>
      <c r="B35" s="31"/>
      <c r="C35" s="30"/>
      <c r="D35" s="30"/>
      <c r="E35" s="27" t="s">
        <v>45</v>
      </c>
      <c r="F35" s="94">
        <f>ROUND((SUM(BG82:BG89)),2)</f>
        <v>0</v>
      </c>
      <c r="G35" s="30"/>
      <c r="H35" s="30"/>
      <c r="I35" s="95">
        <v>0.21</v>
      </c>
      <c r="J35" s="94">
        <f>0</f>
        <v>0</v>
      </c>
      <c r="K35" s="30"/>
      <c r="L35" s="88"/>
      <c r="S35" s="30"/>
      <c r="T35" s="30"/>
      <c r="U35" s="30"/>
      <c r="V35" s="30"/>
      <c r="W35" s="30"/>
      <c r="X35" s="30"/>
      <c r="Y35" s="30"/>
      <c r="Z35" s="30"/>
      <c r="AA35" s="30"/>
      <c r="AB35" s="30"/>
      <c r="AC35" s="30"/>
      <c r="AD35" s="30"/>
      <c r="AE35" s="30"/>
    </row>
    <row r="36" spans="1:31" s="2" customFormat="1" ht="14.45" customHeight="1" hidden="1">
      <c r="A36" s="30"/>
      <c r="B36" s="31"/>
      <c r="C36" s="30"/>
      <c r="D36" s="30"/>
      <c r="E36" s="27" t="s">
        <v>46</v>
      </c>
      <c r="F36" s="94">
        <f>ROUND((SUM(BH82:BH89)),2)</f>
        <v>0</v>
      </c>
      <c r="G36" s="30"/>
      <c r="H36" s="30"/>
      <c r="I36" s="95">
        <v>0.15</v>
      </c>
      <c r="J36" s="94">
        <f>0</f>
        <v>0</v>
      </c>
      <c r="K36" s="30"/>
      <c r="L36" s="88"/>
      <c r="S36" s="30"/>
      <c r="T36" s="30"/>
      <c r="U36" s="30"/>
      <c r="V36" s="30"/>
      <c r="W36" s="30"/>
      <c r="X36" s="30"/>
      <c r="Y36" s="30"/>
      <c r="Z36" s="30"/>
      <c r="AA36" s="30"/>
      <c r="AB36" s="30"/>
      <c r="AC36" s="30"/>
      <c r="AD36" s="30"/>
      <c r="AE36" s="30"/>
    </row>
    <row r="37" spans="1:31" s="2" customFormat="1" ht="14.45" customHeight="1" hidden="1">
      <c r="A37" s="30"/>
      <c r="B37" s="31"/>
      <c r="C37" s="30"/>
      <c r="D37" s="30"/>
      <c r="E37" s="27" t="s">
        <v>47</v>
      </c>
      <c r="F37" s="94">
        <f>ROUND((SUM(BI82:BI89)),2)</f>
        <v>0</v>
      </c>
      <c r="G37" s="30"/>
      <c r="H37" s="30"/>
      <c r="I37" s="95">
        <v>0</v>
      </c>
      <c r="J37" s="94">
        <f>0</f>
        <v>0</v>
      </c>
      <c r="K37" s="30"/>
      <c r="L37" s="88"/>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88"/>
      <c r="S38" s="30"/>
      <c r="T38" s="30"/>
      <c r="U38" s="30"/>
      <c r="V38" s="30"/>
      <c r="W38" s="30"/>
      <c r="X38" s="30"/>
      <c r="Y38" s="30"/>
      <c r="Z38" s="30"/>
      <c r="AA38" s="30"/>
      <c r="AB38" s="30"/>
      <c r="AC38" s="30"/>
      <c r="AD38" s="30"/>
      <c r="AE38" s="30"/>
    </row>
    <row r="39" spans="1:31" s="2" customFormat="1" ht="25.35" customHeight="1">
      <c r="A39" s="30"/>
      <c r="B39" s="31"/>
      <c r="C39" s="96"/>
      <c r="D39" s="97" t="s">
        <v>48</v>
      </c>
      <c r="E39" s="53"/>
      <c r="F39" s="53"/>
      <c r="G39" s="98" t="s">
        <v>49</v>
      </c>
      <c r="H39" s="99" t="s">
        <v>50</v>
      </c>
      <c r="I39" s="53"/>
      <c r="J39" s="100">
        <f>SUM(J30:J37)</f>
        <v>0</v>
      </c>
      <c r="K39" s="101"/>
      <c r="L39" s="88"/>
      <c r="S39" s="30"/>
      <c r="T39" s="30"/>
      <c r="U39" s="30"/>
      <c r="V39" s="30"/>
      <c r="W39" s="30"/>
      <c r="X39" s="30"/>
      <c r="Y39" s="30"/>
      <c r="Z39" s="30"/>
      <c r="AA39" s="30"/>
      <c r="AB39" s="30"/>
      <c r="AC39" s="30"/>
      <c r="AD39" s="30"/>
      <c r="AE39" s="30"/>
    </row>
    <row r="40" spans="1:31" s="2" customFormat="1" ht="14.45" customHeight="1">
      <c r="A40" s="30"/>
      <c r="B40" s="40"/>
      <c r="C40" s="41"/>
      <c r="D40" s="41"/>
      <c r="E40" s="41"/>
      <c r="F40" s="41"/>
      <c r="G40" s="41"/>
      <c r="H40" s="41"/>
      <c r="I40" s="41"/>
      <c r="J40" s="41"/>
      <c r="K40" s="41"/>
      <c r="L40" s="88"/>
      <c r="S40" s="30"/>
      <c r="T40" s="30"/>
      <c r="U40" s="30"/>
      <c r="V40" s="30"/>
      <c r="W40" s="30"/>
      <c r="X40" s="30"/>
      <c r="Y40" s="30"/>
      <c r="Z40" s="30"/>
      <c r="AA40" s="30"/>
      <c r="AB40" s="30"/>
      <c r="AC40" s="30"/>
      <c r="AD40" s="30"/>
      <c r="AE40" s="30"/>
    </row>
    <row r="44" spans="1:31" s="2" customFormat="1" ht="6.95" customHeight="1">
      <c r="A44" s="30"/>
      <c r="B44" s="42"/>
      <c r="C44" s="43"/>
      <c r="D44" s="43"/>
      <c r="E44" s="43"/>
      <c r="F44" s="43"/>
      <c r="G44" s="43"/>
      <c r="H44" s="43"/>
      <c r="I44" s="43"/>
      <c r="J44" s="43"/>
      <c r="K44" s="43"/>
      <c r="L44" s="88"/>
      <c r="S44" s="30"/>
      <c r="T44" s="30"/>
      <c r="U44" s="30"/>
      <c r="V44" s="30"/>
      <c r="W44" s="30"/>
      <c r="X44" s="30"/>
      <c r="Y44" s="30"/>
      <c r="Z44" s="30"/>
      <c r="AA44" s="30"/>
      <c r="AB44" s="30"/>
      <c r="AC44" s="30"/>
      <c r="AD44" s="30"/>
      <c r="AE44" s="30"/>
    </row>
    <row r="45" spans="1:31" s="2" customFormat="1" ht="24.95" customHeight="1">
      <c r="A45" s="30"/>
      <c r="B45" s="31"/>
      <c r="C45" s="22" t="s">
        <v>101</v>
      </c>
      <c r="D45" s="30"/>
      <c r="E45" s="30"/>
      <c r="F45" s="30"/>
      <c r="G45" s="30"/>
      <c r="H45" s="30"/>
      <c r="I45" s="30"/>
      <c r="J45" s="30"/>
      <c r="K45" s="30"/>
      <c r="L45" s="88"/>
      <c r="S45" s="30"/>
      <c r="T45" s="30"/>
      <c r="U45" s="30"/>
      <c r="V45" s="30"/>
      <c r="W45" s="30"/>
      <c r="X45" s="30"/>
      <c r="Y45" s="30"/>
      <c r="Z45" s="30"/>
      <c r="AA45" s="30"/>
      <c r="AB45" s="30"/>
      <c r="AC45" s="30"/>
      <c r="AD45" s="30"/>
      <c r="AE45" s="30"/>
    </row>
    <row r="46" spans="1:31" s="2" customFormat="1" ht="6.95" customHeight="1">
      <c r="A46" s="30"/>
      <c r="B46" s="31"/>
      <c r="C46" s="30"/>
      <c r="D46" s="30"/>
      <c r="E46" s="30"/>
      <c r="F46" s="30"/>
      <c r="G46" s="30"/>
      <c r="H46" s="30"/>
      <c r="I46" s="30"/>
      <c r="J46" s="30"/>
      <c r="K46" s="30"/>
      <c r="L46" s="88"/>
      <c r="S46" s="30"/>
      <c r="T46" s="30"/>
      <c r="U46" s="30"/>
      <c r="V46" s="30"/>
      <c r="W46" s="30"/>
      <c r="X46" s="30"/>
      <c r="Y46" s="30"/>
      <c r="Z46" s="30"/>
      <c r="AA46" s="30"/>
      <c r="AB46" s="30"/>
      <c r="AC46" s="30"/>
      <c r="AD46" s="30"/>
      <c r="AE46" s="30"/>
    </row>
    <row r="47" spans="1:31" s="2" customFormat="1" ht="12" customHeight="1">
      <c r="A47" s="30"/>
      <c r="B47" s="31"/>
      <c r="C47" s="27" t="s">
        <v>14</v>
      </c>
      <c r="D47" s="30"/>
      <c r="E47" s="30"/>
      <c r="F47" s="30"/>
      <c r="G47" s="30"/>
      <c r="H47" s="30"/>
      <c r="I47" s="30"/>
      <c r="J47" s="30"/>
      <c r="K47" s="30"/>
      <c r="L47" s="88"/>
      <c r="S47" s="30"/>
      <c r="T47" s="30"/>
      <c r="U47" s="30"/>
      <c r="V47" s="30"/>
      <c r="W47" s="30"/>
      <c r="X47" s="30"/>
      <c r="Y47" s="30"/>
      <c r="Z47" s="30"/>
      <c r="AA47" s="30"/>
      <c r="AB47" s="30"/>
      <c r="AC47" s="30"/>
      <c r="AD47" s="30"/>
      <c r="AE47" s="30"/>
    </row>
    <row r="48" spans="1:31" s="2" customFormat="1" ht="23.25" customHeight="1">
      <c r="A48" s="30"/>
      <c r="B48" s="31"/>
      <c r="C48" s="30"/>
      <c r="D48" s="30"/>
      <c r="E48" s="352" t="str">
        <f>E7</f>
        <v>Modernizace prostor ambulancí chirurgického oddělení v suterénu budovy A - Nemocnice Nymburk, s.r.o.</v>
      </c>
      <c r="F48" s="353"/>
      <c r="G48" s="353"/>
      <c r="H48" s="353"/>
      <c r="I48" s="30"/>
      <c r="J48" s="30"/>
      <c r="K48" s="30"/>
      <c r="L48" s="88"/>
      <c r="S48" s="30"/>
      <c r="T48" s="30"/>
      <c r="U48" s="30"/>
      <c r="V48" s="30"/>
      <c r="W48" s="30"/>
      <c r="X48" s="30"/>
      <c r="Y48" s="30"/>
      <c r="Z48" s="30"/>
      <c r="AA48" s="30"/>
      <c r="AB48" s="30"/>
      <c r="AC48" s="30"/>
      <c r="AD48" s="30"/>
      <c r="AE48" s="30"/>
    </row>
    <row r="49" spans="1:31" s="2" customFormat="1" ht="12" customHeight="1">
      <c r="A49" s="30"/>
      <c r="B49" s="31"/>
      <c r="C49" s="27" t="s">
        <v>99</v>
      </c>
      <c r="D49" s="30"/>
      <c r="E49" s="30"/>
      <c r="F49" s="30"/>
      <c r="G49" s="30"/>
      <c r="H49" s="30"/>
      <c r="I49" s="30"/>
      <c r="J49" s="30"/>
      <c r="K49" s="30"/>
      <c r="L49" s="88"/>
      <c r="S49" s="30"/>
      <c r="T49" s="30"/>
      <c r="U49" s="30"/>
      <c r="V49" s="30"/>
      <c r="W49" s="30"/>
      <c r="X49" s="30"/>
      <c r="Y49" s="30"/>
      <c r="Z49" s="30"/>
      <c r="AA49" s="30"/>
      <c r="AB49" s="30"/>
      <c r="AC49" s="30"/>
      <c r="AD49" s="30"/>
      <c r="AE49" s="30"/>
    </row>
    <row r="50" spans="1:31" s="2" customFormat="1" ht="16.5" customHeight="1">
      <c r="A50" s="30"/>
      <c r="B50" s="31"/>
      <c r="C50" s="30"/>
      <c r="D50" s="30"/>
      <c r="E50" s="342" t="str">
        <f>E9</f>
        <v>07 - VRN</v>
      </c>
      <c r="F50" s="351"/>
      <c r="G50" s="351"/>
      <c r="H50" s="351"/>
      <c r="I50" s="30"/>
      <c r="J50" s="30"/>
      <c r="K50" s="30"/>
      <c r="L50" s="88"/>
      <c r="S50" s="30"/>
      <c r="T50" s="30"/>
      <c r="U50" s="30"/>
      <c r="V50" s="30"/>
      <c r="W50" s="30"/>
      <c r="X50" s="30"/>
      <c r="Y50" s="30"/>
      <c r="Z50" s="30"/>
      <c r="AA50" s="30"/>
      <c r="AB50" s="30"/>
      <c r="AC50" s="30"/>
      <c r="AD50" s="30"/>
      <c r="AE50" s="30"/>
    </row>
    <row r="51" spans="1:31" s="2" customFormat="1" ht="6.95" customHeight="1">
      <c r="A51" s="30"/>
      <c r="B51" s="31"/>
      <c r="C51" s="30"/>
      <c r="D51" s="30"/>
      <c r="E51" s="30"/>
      <c r="F51" s="30"/>
      <c r="G51" s="30"/>
      <c r="H51" s="30"/>
      <c r="I51" s="30"/>
      <c r="J51" s="30"/>
      <c r="K51" s="30"/>
      <c r="L51" s="88"/>
      <c r="S51" s="30"/>
      <c r="T51" s="30"/>
      <c r="U51" s="30"/>
      <c r="V51" s="30"/>
      <c r="W51" s="30"/>
      <c r="X51" s="30"/>
      <c r="Y51" s="30"/>
      <c r="Z51" s="30"/>
      <c r="AA51" s="30"/>
      <c r="AB51" s="30"/>
      <c r="AC51" s="30"/>
      <c r="AD51" s="30"/>
      <c r="AE51" s="30"/>
    </row>
    <row r="52" spans="1:31" s="2" customFormat="1" ht="12" customHeight="1">
      <c r="A52" s="30"/>
      <c r="B52" s="31"/>
      <c r="C52" s="27" t="s">
        <v>19</v>
      </c>
      <c r="D52" s="30"/>
      <c r="E52" s="30"/>
      <c r="F52" s="25" t="str">
        <f>F12</f>
        <v>Nymburk</v>
      </c>
      <c r="G52" s="30"/>
      <c r="H52" s="30"/>
      <c r="I52" s="27" t="s">
        <v>21</v>
      </c>
      <c r="J52" s="48">
        <f>IF(J12="","",J12)</f>
        <v>44152</v>
      </c>
      <c r="K52" s="30"/>
      <c r="L52" s="88"/>
      <c r="S52" s="30"/>
      <c r="T52" s="30"/>
      <c r="U52" s="30"/>
      <c r="V52" s="30"/>
      <c r="W52" s="30"/>
      <c r="X52" s="30"/>
      <c r="Y52" s="30"/>
      <c r="Z52" s="30"/>
      <c r="AA52" s="30"/>
      <c r="AB52" s="30"/>
      <c r="AC52" s="30"/>
      <c r="AD52" s="30"/>
      <c r="AE52" s="30"/>
    </row>
    <row r="53" spans="1:31" s="2" customFormat="1" ht="6.95" customHeight="1">
      <c r="A53" s="30"/>
      <c r="B53" s="31"/>
      <c r="C53" s="30"/>
      <c r="D53" s="30"/>
      <c r="E53" s="30"/>
      <c r="F53" s="30"/>
      <c r="G53" s="30"/>
      <c r="H53" s="30"/>
      <c r="I53" s="30"/>
      <c r="J53" s="30"/>
      <c r="K53" s="30"/>
      <c r="L53" s="88"/>
      <c r="S53" s="30"/>
      <c r="T53" s="30"/>
      <c r="U53" s="30"/>
      <c r="V53" s="30"/>
      <c r="W53" s="30"/>
      <c r="X53" s="30"/>
      <c r="Y53" s="30"/>
      <c r="Z53" s="30"/>
      <c r="AA53" s="30"/>
      <c r="AB53" s="30"/>
      <c r="AC53" s="30"/>
      <c r="AD53" s="30"/>
      <c r="AE53" s="30"/>
    </row>
    <row r="54" spans="1:31" s="2" customFormat="1" ht="25.7" customHeight="1">
      <c r="A54" s="30"/>
      <c r="B54" s="31"/>
      <c r="C54" s="27" t="s">
        <v>22</v>
      </c>
      <c r="D54" s="30"/>
      <c r="E54" s="30"/>
      <c r="F54" s="25" t="str">
        <f>E15</f>
        <v>Nemocnice Nymburk s.r.o.</v>
      </c>
      <c r="G54" s="30"/>
      <c r="H54" s="30"/>
      <c r="I54" s="27" t="s">
        <v>30</v>
      </c>
      <c r="J54" s="28" t="str">
        <f>E21</f>
        <v>Ing. arch. Pavel Petrák</v>
      </c>
      <c r="K54" s="30"/>
      <c r="L54" s="88"/>
      <c r="S54" s="30"/>
      <c r="T54" s="30"/>
      <c r="U54" s="30"/>
      <c r="V54" s="30"/>
      <c r="W54" s="30"/>
      <c r="X54" s="30"/>
      <c r="Y54" s="30"/>
      <c r="Z54" s="30"/>
      <c r="AA54" s="30"/>
      <c r="AB54" s="30"/>
      <c r="AC54" s="30"/>
      <c r="AD54" s="30"/>
      <c r="AE54" s="30"/>
    </row>
    <row r="55" spans="1:31" s="2" customFormat="1" ht="15.2" customHeight="1">
      <c r="A55" s="30"/>
      <c r="B55" s="31"/>
      <c r="C55" s="27" t="s">
        <v>28</v>
      </c>
      <c r="D55" s="30"/>
      <c r="E55" s="30"/>
      <c r="F55" s="25" t="str">
        <f>IF(E18="","",E18)</f>
        <v xml:space="preserve"> </v>
      </c>
      <c r="G55" s="30"/>
      <c r="H55" s="30"/>
      <c r="I55" s="27" t="s">
        <v>35</v>
      </c>
      <c r="J55" s="28" t="str">
        <f>E24</f>
        <v xml:space="preserve"> </v>
      </c>
      <c r="K55" s="30"/>
      <c r="L55" s="88"/>
      <c r="S55" s="30"/>
      <c r="T55" s="30"/>
      <c r="U55" s="30"/>
      <c r="V55" s="30"/>
      <c r="W55" s="30"/>
      <c r="X55" s="30"/>
      <c r="Y55" s="30"/>
      <c r="Z55" s="30"/>
      <c r="AA55" s="30"/>
      <c r="AB55" s="30"/>
      <c r="AC55" s="30"/>
      <c r="AD55" s="30"/>
      <c r="AE55" s="30"/>
    </row>
    <row r="56" spans="1:31" s="2" customFormat="1" ht="10.35" customHeight="1">
      <c r="A56" s="30"/>
      <c r="B56" s="31"/>
      <c r="C56" s="30"/>
      <c r="D56" s="30"/>
      <c r="E56" s="30"/>
      <c r="F56" s="30"/>
      <c r="G56" s="30"/>
      <c r="H56" s="30"/>
      <c r="I56" s="30"/>
      <c r="J56" s="30"/>
      <c r="K56" s="30"/>
      <c r="L56" s="88"/>
      <c r="S56" s="30"/>
      <c r="T56" s="30"/>
      <c r="U56" s="30"/>
      <c r="V56" s="30"/>
      <c r="W56" s="30"/>
      <c r="X56" s="30"/>
      <c r="Y56" s="30"/>
      <c r="Z56" s="30"/>
      <c r="AA56" s="30"/>
      <c r="AB56" s="30"/>
      <c r="AC56" s="30"/>
      <c r="AD56" s="30"/>
      <c r="AE56" s="30"/>
    </row>
    <row r="57" spans="1:31" s="2" customFormat="1" ht="29.25" customHeight="1">
      <c r="A57" s="30"/>
      <c r="B57" s="31"/>
      <c r="C57" s="102" t="s">
        <v>102</v>
      </c>
      <c r="D57" s="96"/>
      <c r="E57" s="96"/>
      <c r="F57" s="96"/>
      <c r="G57" s="96"/>
      <c r="H57" s="96"/>
      <c r="I57" s="96"/>
      <c r="J57" s="103" t="s">
        <v>103</v>
      </c>
      <c r="K57" s="96"/>
      <c r="L57" s="88"/>
      <c r="S57" s="30"/>
      <c r="T57" s="30"/>
      <c r="U57" s="30"/>
      <c r="V57" s="30"/>
      <c r="W57" s="30"/>
      <c r="X57" s="30"/>
      <c r="Y57" s="30"/>
      <c r="Z57" s="30"/>
      <c r="AA57" s="30"/>
      <c r="AB57" s="30"/>
      <c r="AC57" s="30"/>
      <c r="AD57" s="30"/>
      <c r="AE57" s="30"/>
    </row>
    <row r="58" spans="1:31" s="2" customFormat="1" ht="10.35" customHeight="1">
      <c r="A58" s="30"/>
      <c r="B58" s="31"/>
      <c r="C58" s="30"/>
      <c r="D58" s="30"/>
      <c r="E58" s="30"/>
      <c r="F58" s="30"/>
      <c r="G58" s="30"/>
      <c r="H58" s="30"/>
      <c r="I58" s="30"/>
      <c r="J58" s="30"/>
      <c r="K58" s="30"/>
      <c r="L58" s="88"/>
      <c r="S58" s="30"/>
      <c r="T58" s="30"/>
      <c r="U58" s="30"/>
      <c r="V58" s="30"/>
      <c r="W58" s="30"/>
      <c r="X58" s="30"/>
      <c r="Y58" s="30"/>
      <c r="Z58" s="30"/>
      <c r="AA58" s="30"/>
      <c r="AB58" s="30"/>
      <c r="AC58" s="30"/>
      <c r="AD58" s="30"/>
      <c r="AE58" s="30"/>
    </row>
    <row r="59" spans="1:47" s="2" customFormat="1" ht="22.9" customHeight="1">
      <c r="A59" s="30"/>
      <c r="B59" s="31"/>
      <c r="C59" s="104" t="s">
        <v>70</v>
      </c>
      <c r="D59" s="30"/>
      <c r="E59" s="30"/>
      <c r="F59" s="30"/>
      <c r="G59" s="30"/>
      <c r="H59" s="30"/>
      <c r="I59" s="30"/>
      <c r="J59" s="64">
        <f>J82</f>
        <v>0</v>
      </c>
      <c r="K59" s="30"/>
      <c r="L59" s="88"/>
      <c r="S59" s="30"/>
      <c r="T59" s="30"/>
      <c r="U59" s="30"/>
      <c r="V59" s="30"/>
      <c r="W59" s="30"/>
      <c r="X59" s="30"/>
      <c r="Y59" s="30"/>
      <c r="Z59" s="30"/>
      <c r="AA59" s="30"/>
      <c r="AB59" s="30"/>
      <c r="AC59" s="30"/>
      <c r="AD59" s="30"/>
      <c r="AE59" s="30"/>
      <c r="AU59" s="18" t="s">
        <v>104</v>
      </c>
    </row>
    <row r="60" spans="2:12" s="9" customFormat="1" ht="24.95" customHeight="1">
      <c r="B60" s="105"/>
      <c r="D60" s="106" t="s">
        <v>379</v>
      </c>
      <c r="E60" s="107"/>
      <c r="F60" s="107"/>
      <c r="G60" s="107"/>
      <c r="H60" s="107"/>
      <c r="I60" s="107"/>
      <c r="J60" s="108">
        <f>J83</f>
        <v>0</v>
      </c>
      <c r="L60" s="105"/>
    </row>
    <row r="61" spans="2:12" s="10" customFormat="1" ht="19.9" customHeight="1">
      <c r="B61" s="109"/>
      <c r="D61" s="110" t="s">
        <v>892</v>
      </c>
      <c r="E61" s="111"/>
      <c r="F61" s="111"/>
      <c r="G61" s="111"/>
      <c r="H61" s="111"/>
      <c r="I61" s="111"/>
      <c r="J61" s="112">
        <f>J84</f>
        <v>0</v>
      </c>
      <c r="L61" s="109"/>
    </row>
    <row r="62" spans="2:12" s="10" customFormat="1" ht="19.9" customHeight="1">
      <c r="B62" s="109"/>
      <c r="D62" s="110" t="s">
        <v>893</v>
      </c>
      <c r="E62" s="111"/>
      <c r="F62" s="111"/>
      <c r="G62" s="111"/>
      <c r="H62" s="111"/>
      <c r="I62" s="111"/>
      <c r="J62" s="112">
        <f>J87</f>
        <v>0</v>
      </c>
      <c r="L62" s="109"/>
    </row>
    <row r="63" spans="1:31" s="2" customFormat="1" ht="21.75" customHeight="1">
      <c r="A63" s="30"/>
      <c r="B63" s="31"/>
      <c r="C63" s="30"/>
      <c r="D63" s="30"/>
      <c r="E63" s="30"/>
      <c r="F63" s="30"/>
      <c r="G63" s="30"/>
      <c r="H63" s="30"/>
      <c r="I63" s="30"/>
      <c r="J63" s="30"/>
      <c r="K63" s="30"/>
      <c r="L63" s="88"/>
      <c r="S63" s="30"/>
      <c r="T63" s="30"/>
      <c r="U63" s="30"/>
      <c r="V63" s="30"/>
      <c r="W63" s="30"/>
      <c r="X63" s="30"/>
      <c r="Y63" s="30"/>
      <c r="Z63" s="30"/>
      <c r="AA63" s="30"/>
      <c r="AB63" s="30"/>
      <c r="AC63" s="30"/>
      <c r="AD63" s="30"/>
      <c r="AE63" s="30"/>
    </row>
    <row r="64" spans="1:31" s="2" customFormat="1" ht="6.95" customHeight="1">
      <c r="A64" s="30"/>
      <c r="B64" s="40"/>
      <c r="C64" s="41"/>
      <c r="D64" s="41"/>
      <c r="E64" s="41"/>
      <c r="F64" s="41"/>
      <c r="G64" s="41"/>
      <c r="H64" s="41"/>
      <c r="I64" s="41"/>
      <c r="J64" s="41"/>
      <c r="K64" s="41"/>
      <c r="L64" s="88"/>
      <c r="S64" s="30"/>
      <c r="T64" s="30"/>
      <c r="U64" s="30"/>
      <c r="V64" s="30"/>
      <c r="W64" s="30"/>
      <c r="X64" s="30"/>
      <c r="Y64" s="30"/>
      <c r="Z64" s="30"/>
      <c r="AA64" s="30"/>
      <c r="AB64" s="30"/>
      <c r="AC64" s="30"/>
      <c r="AD64" s="30"/>
      <c r="AE64" s="30"/>
    </row>
    <row r="68" spans="1:31" s="2" customFormat="1" ht="6.95" customHeight="1">
      <c r="A68" s="30"/>
      <c r="B68" s="42"/>
      <c r="C68" s="43"/>
      <c r="D68" s="43"/>
      <c r="E68" s="43"/>
      <c r="F68" s="43"/>
      <c r="G68" s="43"/>
      <c r="H68" s="43"/>
      <c r="I68" s="43"/>
      <c r="J68" s="43"/>
      <c r="K68" s="43"/>
      <c r="L68" s="88"/>
      <c r="S68" s="30"/>
      <c r="T68" s="30"/>
      <c r="U68" s="30"/>
      <c r="V68" s="30"/>
      <c r="W68" s="30"/>
      <c r="X68" s="30"/>
      <c r="Y68" s="30"/>
      <c r="Z68" s="30"/>
      <c r="AA68" s="30"/>
      <c r="AB68" s="30"/>
      <c r="AC68" s="30"/>
      <c r="AD68" s="30"/>
      <c r="AE68" s="30"/>
    </row>
    <row r="69" spans="1:31" s="2" customFormat="1" ht="24.95" customHeight="1">
      <c r="A69" s="30"/>
      <c r="B69" s="31"/>
      <c r="C69" s="22" t="s">
        <v>118</v>
      </c>
      <c r="D69" s="30"/>
      <c r="E69" s="30"/>
      <c r="F69" s="30"/>
      <c r="G69" s="30"/>
      <c r="H69" s="30"/>
      <c r="I69" s="30"/>
      <c r="J69" s="30"/>
      <c r="K69" s="30"/>
      <c r="L69" s="88"/>
      <c r="S69" s="30"/>
      <c r="T69" s="30"/>
      <c r="U69" s="30"/>
      <c r="V69" s="30"/>
      <c r="W69" s="30"/>
      <c r="X69" s="30"/>
      <c r="Y69" s="30"/>
      <c r="Z69" s="30"/>
      <c r="AA69" s="30"/>
      <c r="AB69" s="30"/>
      <c r="AC69" s="30"/>
      <c r="AD69" s="30"/>
      <c r="AE69" s="30"/>
    </row>
    <row r="70" spans="1:31" s="2" customFormat="1" ht="6.95" customHeight="1">
      <c r="A70" s="30"/>
      <c r="B70" s="31"/>
      <c r="C70" s="30"/>
      <c r="D70" s="30"/>
      <c r="E70" s="30"/>
      <c r="F70" s="30"/>
      <c r="G70" s="30"/>
      <c r="H70" s="30"/>
      <c r="I70" s="30"/>
      <c r="J70" s="30"/>
      <c r="K70" s="30"/>
      <c r="L70" s="88"/>
      <c r="S70" s="30"/>
      <c r="T70" s="30"/>
      <c r="U70" s="30"/>
      <c r="V70" s="30"/>
      <c r="W70" s="30"/>
      <c r="X70" s="30"/>
      <c r="Y70" s="30"/>
      <c r="Z70" s="30"/>
      <c r="AA70" s="30"/>
      <c r="AB70" s="30"/>
      <c r="AC70" s="30"/>
      <c r="AD70" s="30"/>
      <c r="AE70" s="30"/>
    </row>
    <row r="71" spans="1:31" s="2" customFormat="1" ht="12" customHeight="1">
      <c r="A71" s="30"/>
      <c r="B71" s="31"/>
      <c r="C71" s="27" t="s">
        <v>14</v>
      </c>
      <c r="D71" s="30"/>
      <c r="E71" s="30"/>
      <c r="F71" s="30"/>
      <c r="G71" s="30"/>
      <c r="H71" s="30"/>
      <c r="I71" s="30"/>
      <c r="J71" s="30"/>
      <c r="K71" s="30"/>
      <c r="L71" s="88"/>
      <c r="S71" s="30"/>
      <c r="T71" s="30"/>
      <c r="U71" s="30"/>
      <c r="V71" s="30"/>
      <c r="W71" s="30"/>
      <c r="X71" s="30"/>
      <c r="Y71" s="30"/>
      <c r="Z71" s="30"/>
      <c r="AA71" s="30"/>
      <c r="AB71" s="30"/>
      <c r="AC71" s="30"/>
      <c r="AD71" s="30"/>
      <c r="AE71" s="30"/>
    </row>
    <row r="72" spans="1:31" s="2" customFormat="1" ht="23.25" customHeight="1">
      <c r="A72" s="30"/>
      <c r="B72" s="31"/>
      <c r="C72" s="30"/>
      <c r="D72" s="30"/>
      <c r="E72" s="352" t="str">
        <f>E7</f>
        <v>Modernizace prostor ambulancí chirurgického oddělení v suterénu budovy A - Nemocnice Nymburk, s.r.o.</v>
      </c>
      <c r="F72" s="353"/>
      <c r="G72" s="353"/>
      <c r="H72" s="353"/>
      <c r="I72" s="30"/>
      <c r="J72" s="30"/>
      <c r="K72" s="30"/>
      <c r="L72" s="88"/>
      <c r="S72" s="30"/>
      <c r="T72" s="30"/>
      <c r="U72" s="30"/>
      <c r="V72" s="30"/>
      <c r="W72" s="30"/>
      <c r="X72" s="30"/>
      <c r="Y72" s="30"/>
      <c r="Z72" s="30"/>
      <c r="AA72" s="30"/>
      <c r="AB72" s="30"/>
      <c r="AC72" s="30"/>
      <c r="AD72" s="30"/>
      <c r="AE72" s="30"/>
    </row>
    <row r="73" spans="1:31" s="2" customFormat="1" ht="12" customHeight="1">
      <c r="A73" s="30"/>
      <c r="B73" s="31"/>
      <c r="C73" s="27" t="s">
        <v>99</v>
      </c>
      <c r="D73" s="30"/>
      <c r="E73" s="30"/>
      <c r="F73" s="30"/>
      <c r="G73" s="30"/>
      <c r="H73" s="30"/>
      <c r="I73" s="30"/>
      <c r="J73" s="30"/>
      <c r="K73" s="30"/>
      <c r="L73" s="88"/>
      <c r="S73" s="30"/>
      <c r="T73" s="30"/>
      <c r="U73" s="30"/>
      <c r="V73" s="30"/>
      <c r="W73" s="30"/>
      <c r="X73" s="30"/>
      <c r="Y73" s="30"/>
      <c r="Z73" s="30"/>
      <c r="AA73" s="30"/>
      <c r="AB73" s="30"/>
      <c r="AC73" s="30"/>
      <c r="AD73" s="30"/>
      <c r="AE73" s="30"/>
    </row>
    <row r="74" spans="1:31" s="2" customFormat="1" ht="16.5" customHeight="1">
      <c r="A74" s="30"/>
      <c r="B74" s="31"/>
      <c r="C74" s="30"/>
      <c r="D74" s="30"/>
      <c r="E74" s="342" t="str">
        <f>E9</f>
        <v>07 - VRN</v>
      </c>
      <c r="F74" s="351"/>
      <c r="G74" s="351"/>
      <c r="H74" s="351"/>
      <c r="I74" s="30"/>
      <c r="J74" s="30"/>
      <c r="K74" s="30"/>
      <c r="L74" s="88"/>
      <c r="S74" s="30"/>
      <c r="T74" s="30"/>
      <c r="U74" s="30"/>
      <c r="V74" s="30"/>
      <c r="W74" s="30"/>
      <c r="X74" s="30"/>
      <c r="Y74" s="30"/>
      <c r="Z74" s="30"/>
      <c r="AA74" s="30"/>
      <c r="AB74" s="30"/>
      <c r="AC74" s="30"/>
      <c r="AD74" s="30"/>
      <c r="AE74" s="30"/>
    </row>
    <row r="75" spans="1:31" s="2" customFormat="1" ht="6.95" customHeight="1">
      <c r="A75" s="30"/>
      <c r="B75" s="31"/>
      <c r="C75" s="30"/>
      <c r="D75" s="30"/>
      <c r="E75" s="30"/>
      <c r="F75" s="30"/>
      <c r="G75" s="30"/>
      <c r="H75" s="30"/>
      <c r="I75" s="30"/>
      <c r="J75" s="30"/>
      <c r="K75" s="30"/>
      <c r="L75" s="88"/>
      <c r="S75" s="30"/>
      <c r="T75" s="30"/>
      <c r="U75" s="30"/>
      <c r="V75" s="30"/>
      <c r="W75" s="30"/>
      <c r="X75" s="30"/>
      <c r="Y75" s="30"/>
      <c r="Z75" s="30"/>
      <c r="AA75" s="30"/>
      <c r="AB75" s="30"/>
      <c r="AC75" s="30"/>
      <c r="AD75" s="30"/>
      <c r="AE75" s="30"/>
    </row>
    <row r="76" spans="1:31" s="2" customFormat="1" ht="12" customHeight="1">
      <c r="A76" s="30"/>
      <c r="B76" s="31"/>
      <c r="C76" s="27" t="s">
        <v>19</v>
      </c>
      <c r="D76" s="30"/>
      <c r="E76" s="30"/>
      <c r="F76" s="25" t="str">
        <f>F12</f>
        <v>Nymburk</v>
      </c>
      <c r="G76" s="30"/>
      <c r="H76" s="30"/>
      <c r="I76" s="27" t="s">
        <v>21</v>
      </c>
      <c r="J76" s="48">
        <f>IF(J12="","",J12)</f>
        <v>44152</v>
      </c>
      <c r="K76" s="30"/>
      <c r="L76" s="88"/>
      <c r="S76" s="30"/>
      <c r="T76" s="30"/>
      <c r="U76" s="30"/>
      <c r="V76" s="30"/>
      <c r="W76" s="30"/>
      <c r="X76" s="30"/>
      <c r="Y76" s="30"/>
      <c r="Z76" s="30"/>
      <c r="AA76" s="30"/>
      <c r="AB76" s="30"/>
      <c r="AC76" s="30"/>
      <c r="AD76" s="30"/>
      <c r="AE76" s="30"/>
    </row>
    <row r="77" spans="1:31" s="2" customFormat="1" ht="6.95" customHeight="1">
      <c r="A77" s="30"/>
      <c r="B77" s="31"/>
      <c r="C77" s="30"/>
      <c r="D77" s="30"/>
      <c r="E77" s="30"/>
      <c r="F77" s="30"/>
      <c r="G77" s="30"/>
      <c r="H77" s="30"/>
      <c r="I77" s="30"/>
      <c r="J77" s="30"/>
      <c r="K77" s="30"/>
      <c r="L77" s="88"/>
      <c r="S77" s="30"/>
      <c r="T77" s="30"/>
      <c r="U77" s="30"/>
      <c r="V77" s="30"/>
      <c r="W77" s="30"/>
      <c r="X77" s="30"/>
      <c r="Y77" s="30"/>
      <c r="Z77" s="30"/>
      <c r="AA77" s="30"/>
      <c r="AB77" s="30"/>
      <c r="AC77" s="30"/>
      <c r="AD77" s="30"/>
      <c r="AE77" s="30"/>
    </row>
    <row r="78" spans="1:31" s="2" customFormat="1" ht="25.7" customHeight="1">
      <c r="A78" s="30"/>
      <c r="B78" s="31"/>
      <c r="C78" s="27" t="s">
        <v>22</v>
      </c>
      <c r="D78" s="30"/>
      <c r="E78" s="30"/>
      <c r="F78" s="25" t="str">
        <f>E15</f>
        <v>Nemocnice Nymburk s.r.o.</v>
      </c>
      <c r="G78" s="30"/>
      <c r="H78" s="30"/>
      <c r="I78" s="27" t="s">
        <v>30</v>
      </c>
      <c r="J78" s="28" t="str">
        <f>E21</f>
        <v>Ing. arch. Pavel Petrák</v>
      </c>
      <c r="K78" s="30"/>
      <c r="L78" s="88"/>
      <c r="S78" s="30"/>
      <c r="T78" s="30"/>
      <c r="U78" s="30"/>
      <c r="V78" s="30"/>
      <c r="W78" s="30"/>
      <c r="X78" s="30"/>
      <c r="Y78" s="30"/>
      <c r="Z78" s="30"/>
      <c r="AA78" s="30"/>
      <c r="AB78" s="30"/>
      <c r="AC78" s="30"/>
      <c r="AD78" s="30"/>
      <c r="AE78" s="30"/>
    </row>
    <row r="79" spans="1:31" s="2" customFormat="1" ht="15.2" customHeight="1">
      <c r="A79" s="30"/>
      <c r="B79" s="31"/>
      <c r="C79" s="27" t="s">
        <v>28</v>
      </c>
      <c r="D79" s="30"/>
      <c r="E79" s="30"/>
      <c r="F79" s="25" t="str">
        <f>IF(E18="","",E18)</f>
        <v xml:space="preserve"> </v>
      </c>
      <c r="G79" s="30"/>
      <c r="H79" s="30"/>
      <c r="I79" s="27" t="s">
        <v>35</v>
      </c>
      <c r="J79" s="28" t="str">
        <f>E24</f>
        <v xml:space="preserve"> </v>
      </c>
      <c r="K79" s="30"/>
      <c r="L79" s="88"/>
      <c r="S79" s="30"/>
      <c r="T79" s="30"/>
      <c r="U79" s="30"/>
      <c r="V79" s="30"/>
      <c r="W79" s="30"/>
      <c r="X79" s="30"/>
      <c r="Y79" s="30"/>
      <c r="Z79" s="30"/>
      <c r="AA79" s="30"/>
      <c r="AB79" s="30"/>
      <c r="AC79" s="30"/>
      <c r="AD79" s="30"/>
      <c r="AE79" s="30"/>
    </row>
    <row r="80" spans="1:31" s="2" customFormat="1" ht="10.35" customHeight="1">
      <c r="A80" s="30"/>
      <c r="B80" s="31"/>
      <c r="C80" s="30"/>
      <c r="D80" s="30"/>
      <c r="E80" s="30"/>
      <c r="F80" s="30"/>
      <c r="G80" s="30"/>
      <c r="H80" s="30"/>
      <c r="I80" s="30"/>
      <c r="J80" s="30"/>
      <c r="K80" s="30"/>
      <c r="L80" s="88"/>
      <c r="S80" s="30"/>
      <c r="T80" s="30"/>
      <c r="U80" s="30"/>
      <c r="V80" s="30"/>
      <c r="W80" s="30"/>
      <c r="X80" s="30"/>
      <c r="Y80" s="30"/>
      <c r="Z80" s="30"/>
      <c r="AA80" s="30"/>
      <c r="AB80" s="30"/>
      <c r="AC80" s="30"/>
      <c r="AD80" s="30"/>
      <c r="AE80" s="30"/>
    </row>
    <row r="81" spans="1:31" s="11" customFormat="1" ht="29.25" customHeight="1">
      <c r="A81" s="113"/>
      <c r="B81" s="114"/>
      <c r="C81" s="115" t="s">
        <v>119</v>
      </c>
      <c r="D81" s="116" t="s">
        <v>57</v>
      </c>
      <c r="E81" s="116" t="s">
        <v>53</v>
      </c>
      <c r="F81" s="116" t="s">
        <v>54</v>
      </c>
      <c r="G81" s="116" t="s">
        <v>120</v>
      </c>
      <c r="H81" s="116" t="s">
        <v>121</v>
      </c>
      <c r="I81" s="116" t="s">
        <v>122</v>
      </c>
      <c r="J81" s="116" t="s">
        <v>103</v>
      </c>
      <c r="K81" s="117" t="s">
        <v>123</v>
      </c>
      <c r="L81" s="118"/>
      <c r="M81" s="55" t="s">
        <v>3</v>
      </c>
      <c r="N81" s="56" t="s">
        <v>42</v>
      </c>
      <c r="O81" s="56" t="s">
        <v>124</v>
      </c>
      <c r="P81" s="56" t="s">
        <v>125</v>
      </c>
      <c r="Q81" s="56" t="s">
        <v>126</v>
      </c>
      <c r="R81" s="56" t="s">
        <v>127</v>
      </c>
      <c r="S81" s="56" t="s">
        <v>128</v>
      </c>
      <c r="T81" s="57" t="s">
        <v>129</v>
      </c>
      <c r="U81" s="113"/>
      <c r="V81" s="113"/>
      <c r="W81" s="113"/>
      <c r="X81" s="113"/>
      <c r="Y81" s="113"/>
      <c r="Z81" s="113"/>
      <c r="AA81" s="113"/>
      <c r="AB81" s="113"/>
      <c r="AC81" s="113"/>
      <c r="AD81" s="113"/>
      <c r="AE81" s="113"/>
    </row>
    <row r="82" spans="1:63" s="2" customFormat="1" ht="22.9" customHeight="1">
      <c r="A82" s="30"/>
      <c r="B82" s="31"/>
      <c r="C82" s="62" t="s">
        <v>130</v>
      </c>
      <c r="D82" s="30"/>
      <c r="E82" s="30"/>
      <c r="F82" s="30"/>
      <c r="G82" s="30"/>
      <c r="H82" s="30"/>
      <c r="I82" s="30"/>
      <c r="J82" s="119">
        <f>J83</f>
        <v>0</v>
      </c>
      <c r="K82" s="30"/>
      <c r="L82" s="31"/>
      <c r="M82" s="58"/>
      <c r="N82" s="49"/>
      <c r="O82" s="59"/>
      <c r="P82" s="120" t="e">
        <f>P83</f>
        <v>#REF!</v>
      </c>
      <c r="Q82" s="59"/>
      <c r="R82" s="120" t="e">
        <f>R83</f>
        <v>#REF!</v>
      </c>
      <c r="S82" s="59"/>
      <c r="T82" s="121" t="e">
        <f>T83</f>
        <v>#REF!</v>
      </c>
      <c r="U82" s="30"/>
      <c r="V82" s="30"/>
      <c r="W82" s="30"/>
      <c r="X82" s="30"/>
      <c r="Y82" s="30"/>
      <c r="Z82" s="30"/>
      <c r="AA82" s="30"/>
      <c r="AB82" s="30"/>
      <c r="AC82" s="30"/>
      <c r="AD82" s="30"/>
      <c r="AE82" s="30"/>
      <c r="AT82" s="18" t="s">
        <v>71</v>
      </c>
      <c r="AU82" s="18" t="s">
        <v>104</v>
      </c>
      <c r="BK82" s="122" t="e">
        <f>BK83</f>
        <v>#REF!</v>
      </c>
    </row>
    <row r="83" spans="2:63" s="12" customFormat="1" ht="25.9" customHeight="1">
      <c r="B83" s="123"/>
      <c r="D83" s="124" t="s">
        <v>71</v>
      </c>
      <c r="E83" s="125" t="s">
        <v>96</v>
      </c>
      <c r="F83" s="125" t="s">
        <v>499</v>
      </c>
      <c r="J83" s="126">
        <f>J84+J87</f>
        <v>0</v>
      </c>
      <c r="L83" s="123"/>
      <c r="M83" s="127"/>
      <c r="N83" s="128"/>
      <c r="O83" s="128"/>
      <c r="P83" s="129" t="e">
        <f>#REF!+P84+#REF!+P87+#REF!</f>
        <v>#REF!</v>
      </c>
      <c r="Q83" s="128"/>
      <c r="R83" s="129" t="e">
        <f>#REF!+R84+#REF!+R87+#REF!</f>
        <v>#REF!</v>
      </c>
      <c r="S83" s="128"/>
      <c r="T83" s="130" t="e">
        <f>#REF!+T84+#REF!+T87+#REF!</f>
        <v>#REF!</v>
      </c>
      <c r="AR83" s="124" t="s">
        <v>145</v>
      </c>
      <c r="AT83" s="131" t="s">
        <v>71</v>
      </c>
      <c r="AU83" s="131" t="s">
        <v>72</v>
      </c>
      <c r="AY83" s="124" t="s">
        <v>133</v>
      </c>
      <c r="BK83" s="132" t="e">
        <f>#REF!+BK84+#REF!+BK87+#REF!</f>
        <v>#REF!</v>
      </c>
    </row>
    <row r="84" spans="2:63" s="12" customFormat="1" ht="22.9" customHeight="1">
      <c r="B84" s="123"/>
      <c r="D84" s="124" t="s">
        <v>71</v>
      </c>
      <c r="E84" s="133" t="s">
        <v>695</v>
      </c>
      <c r="F84" s="133" t="s">
        <v>696</v>
      </c>
      <c r="J84" s="134">
        <f>BK84</f>
        <v>0</v>
      </c>
      <c r="L84" s="123"/>
      <c r="M84" s="127"/>
      <c r="N84" s="128"/>
      <c r="O84" s="128"/>
      <c r="P84" s="129">
        <f>SUM(P85:P86)</f>
        <v>0</v>
      </c>
      <c r="Q84" s="128"/>
      <c r="R84" s="129">
        <f>SUM(R85:R86)</f>
        <v>0</v>
      </c>
      <c r="S84" s="128"/>
      <c r="T84" s="130">
        <f>SUM(T85:T86)</f>
        <v>0</v>
      </c>
      <c r="AR84" s="124" t="s">
        <v>145</v>
      </c>
      <c r="AT84" s="131" t="s">
        <v>71</v>
      </c>
      <c r="AU84" s="131" t="s">
        <v>80</v>
      </c>
      <c r="AY84" s="124" t="s">
        <v>133</v>
      </c>
      <c r="BK84" s="132">
        <f>SUM(BK85:BK86)</f>
        <v>0</v>
      </c>
    </row>
    <row r="85" spans="1:65" s="2" customFormat="1" ht="14.45" customHeight="1">
      <c r="A85" s="30"/>
      <c r="B85" s="135"/>
      <c r="C85" s="136">
        <v>1</v>
      </c>
      <c r="D85" s="136" t="s">
        <v>136</v>
      </c>
      <c r="E85" s="137" t="s">
        <v>697</v>
      </c>
      <c r="F85" s="138" t="s">
        <v>696</v>
      </c>
      <c r="G85" s="139" t="s">
        <v>502</v>
      </c>
      <c r="H85" s="140">
        <v>1</v>
      </c>
      <c r="I85" s="141"/>
      <c r="J85" s="141">
        <f>ROUND(I85*H85,2)</f>
        <v>0</v>
      </c>
      <c r="K85" s="138" t="s">
        <v>141</v>
      </c>
      <c r="L85" s="31"/>
      <c r="M85" s="142" t="s">
        <v>3</v>
      </c>
      <c r="N85" s="143" t="s">
        <v>43</v>
      </c>
      <c r="O85" s="144">
        <v>0</v>
      </c>
      <c r="P85" s="144">
        <f>O85*H85</f>
        <v>0</v>
      </c>
      <c r="Q85" s="144">
        <v>0</v>
      </c>
      <c r="R85" s="144">
        <f>Q85*H85</f>
        <v>0</v>
      </c>
      <c r="S85" s="144">
        <v>0</v>
      </c>
      <c r="T85" s="145">
        <f>S85*H85</f>
        <v>0</v>
      </c>
      <c r="U85" s="30"/>
      <c r="V85" s="30"/>
      <c r="W85" s="30"/>
      <c r="X85" s="30"/>
      <c r="Y85" s="30"/>
      <c r="Z85" s="30"/>
      <c r="AA85" s="30"/>
      <c r="AB85" s="30"/>
      <c r="AC85" s="30"/>
      <c r="AD85" s="30"/>
      <c r="AE85" s="30"/>
      <c r="AR85" s="146" t="s">
        <v>503</v>
      </c>
      <c r="AT85" s="146" t="s">
        <v>136</v>
      </c>
      <c r="AU85" s="146" t="s">
        <v>82</v>
      </c>
      <c r="AY85" s="18" t="s">
        <v>133</v>
      </c>
      <c r="BE85" s="147">
        <f>IF(N85="základní",J85,0)</f>
        <v>0</v>
      </c>
      <c r="BF85" s="147">
        <f>IF(N85="snížená",J85,0)</f>
        <v>0</v>
      </c>
      <c r="BG85" s="147">
        <f>IF(N85="zákl. přenesená",J85,0)</f>
        <v>0</v>
      </c>
      <c r="BH85" s="147">
        <f>IF(N85="sníž. přenesená",J85,0)</f>
        <v>0</v>
      </c>
      <c r="BI85" s="147">
        <f>IF(N85="nulová",J85,0)</f>
        <v>0</v>
      </c>
      <c r="BJ85" s="18" t="s">
        <v>80</v>
      </c>
      <c r="BK85" s="147">
        <f>ROUND(I85*H85,2)</f>
        <v>0</v>
      </c>
      <c r="BL85" s="18" t="s">
        <v>503</v>
      </c>
      <c r="BM85" s="146" t="s">
        <v>698</v>
      </c>
    </row>
    <row r="86" spans="1:47" s="2" customFormat="1" ht="29.25">
      <c r="A86" s="30"/>
      <c r="B86" s="31"/>
      <c r="C86" s="30"/>
      <c r="D86" s="149" t="s">
        <v>170</v>
      </c>
      <c r="E86" s="30"/>
      <c r="F86" s="162" t="s">
        <v>699</v>
      </c>
      <c r="G86" s="30"/>
      <c r="H86" s="30"/>
      <c r="I86" s="30"/>
      <c r="J86" s="30"/>
      <c r="K86" s="30"/>
      <c r="L86" s="31"/>
      <c r="M86" s="163"/>
      <c r="N86" s="164"/>
      <c r="O86" s="51"/>
      <c r="P86" s="51"/>
      <c r="Q86" s="51"/>
      <c r="R86" s="51"/>
      <c r="S86" s="51"/>
      <c r="T86" s="52"/>
      <c r="U86" s="30"/>
      <c r="V86" s="30"/>
      <c r="W86" s="30"/>
      <c r="X86" s="30"/>
      <c r="Y86" s="30"/>
      <c r="Z86" s="30"/>
      <c r="AA86" s="30"/>
      <c r="AB86" s="30"/>
      <c r="AC86" s="30"/>
      <c r="AD86" s="30"/>
      <c r="AE86" s="30"/>
      <c r="AT86" s="18" t="s">
        <v>170</v>
      </c>
      <c r="AU86" s="18" t="s">
        <v>82</v>
      </c>
    </row>
    <row r="87" spans="2:63" s="12" customFormat="1" ht="22.9" customHeight="1">
      <c r="B87" s="123"/>
      <c r="D87" s="124" t="s">
        <v>71</v>
      </c>
      <c r="E87" s="133" t="s">
        <v>894</v>
      </c>
      <c r="F87" s="133" t="s">
        <v>500</v>
      </c>
      <c r="J87" s="134">
        <f>BK87</f>
        <v>0</v>
      </c>
      <c r="L87" s="123"/>
      <c r="M87" s="127"/>
      <c r="N87" s="128"/>
      <c r="O87" s="128"/>
      <c r="P87" s="129">
        <f>SUM(P88:P89)</f>
        <v>0</v>
      </c>
      <c r="Q87" s="128"/>
      <c r="R87" s="129">
        <f>SUM(R88:R89)</f>
        <v>0</v>
      </c>
      <c r="S87" s="128"/>
      <c r="T87" s="130">
        <f>SUM(T88:T89)</f>
        <v>0</v>
      </c>
      <c r="AR87" s="124" t="s">
        <v>145</v>
      </c>
      <c r="AT87" s="131" t="s">
        <v>71</v>
      </c>
      <c r="AU87" s="131" t="s">
        <v>80</v>
      </c>
      <c r="AY87" s="124" t="s">
        <v>133</v>
      </c>
      <c r="BK87" s="132">
        <f>SUM(BK88:BK89)</f>
        <v>0</v>
      </c>
    </row>
    <row r="88" spans="1:65" s="2" customFormat="1" ht="14.45" customHeight="1">
      <c r="A88" s="30"/>
      <c r="B88" s="135"/>
      <c r="C88" s="136">
        <v>2</v>
      </c>
      <c r="D88" s="136" t="s">
        <v>136</v>
      </c>
      <c r="E88" s="137" t="s">
        <v>501</v>
      </c>
      <c r="F88" s="138" t="s">
        <v>897</v>
      </c>
      <c r="G88" s="139" t="s">
        <v>502</v>
      </c>
      <c r="H88" s="140">
        <v>1</v>
      </c>
      <c r="I88" s="141"/>
      <c r="J88" s="141">
        <f>ROUND(I88*H88,2)</f>
        <v>0</v>
      </c>
      <c r="K88" s="138" t="s">
        <v>141</v>
      </c>
      <c r="L88" s="31"/>
      <c r="M88" s="142" t="s">
        <v>3</v>
      </c>
      <c r="N88" s="143" t="s">
        <v>43</v>
      </c>
      <c r="O88" s="144">
        <v>0</v>
      </c>
      <c r="P88" s="144">
        <f>O88*H88</f>
        <v>0</v>
      </c>
      <c r="Q88" s="144">
        <v>0</v>
      </c>
      <c r="R88" s="144">
        <f>Q88*H88</f>
        <v>0</v>
      </c>
      <c r="S88" s="144">
        <v>0</v>
      </c>
      <c r="T88" s="145">
        <f>S88*H88</f>
        <v>0</v>
      </c>
      <c r="U88" s="30"/>
      <c r="V88" s="30"/>
      <c r="W88" s="30"/>
      <c r="X88" s="30"/>
      <c r="Y88" s="30"/>
      <c r="Z88" s="30"/>
      <c r="AA88" s="30"/>
      <c r="AB88" s="30"/>
      <c r="AC88" s="30"/>
      <c r="AD88" s="30"/>
      <c r="AE88" s="30"/>
      <c r="AR88" s="146" t="s">
        <v>503</v>
      </c>
      <c r="AT88" s="146" t="s">
        <v>136</v>
      </c>
      <c r="AU88" s="146" t="s">
        <v>82</v>
      </c>
      <c r="AY88" s="18" t="s">
        <v>133</v>
      </c>
      <c r="BE88" s="147">
        <f>IF(N88="základní",J88,0)</f>
        <v>0</v>
      </c>
      <c r="BF88" s="147">
        <f>IF(N88="snížená",J88,0)</f>
        <v>0</v>
      </c>
      <c r="BG88" s="147">
        <f>IF(N88="zákl. přenesená",J88,0)</f>
        <v>0</v>
      </c>
      <c r="BH88" s="147">
        <f>IF(N88="sníž. přenesená",J88,0)</f>
        <v>0</v>
      </c>
      <c r="BI88" s="147">
        <f>IF(N88="nulová",J88,0)</f>
        <v>0</v>
      </c>
      <c r="BJ88" s="18" t="s">
        <v>80</v>
      </c>
      <c r="BK88" s="147">
        <f>ROUND(I88*H88,2)</f>
        <v>0</v>
      </c>
      <c r="BL88" s="18" t="s">
        <v>503</v>
      </c>
      <c r="BM88" s="146" t="s">
        <v>700</v>
      </c>
    </row>
    <row r="89" spans="1:47" s="2" customFormat="1" ht="29.25">
      <c r="A89" s="30"/>
      <c r="B89" s="31"/>
      <c r="C89" s="30"/>
      <c r="D89" s="149" t="s">
        <v>170</v>
      </c>
      <c r="E89" s="30"/>
      <c r="F89" s="162" t="s">
        <v>898</v>
      </c>
      <c r="G89" s="30"/>
      <c r="H89" s="30"/>
      <c r="I89" s="30"/>
      <c r="J89" s="30"/>
      <c r="K89" s="30"/>
      <c r="L89" s="31"/>
      <c r="M89" s="163"/>
      <c r="N89" s="164"/>
      <c r="O89" s="51"/>
      <c r="P89" s="51"/>
      <c r="Q89" s="51"/>
      <c r="R89" s="51"/>
      <c r="S89" s="51"/>
      <c r="T89" s="52"/>
      <c r="U89" s="30"/>
      <c r="V89" s="30"/>
      <c r="W89" s="30"/>
      <c r="X89" s="30"/>
      <c r="Y89" s="30"/>
      <c r="Z89" s="30"/>
      <c r="AA89" s="30"/>
      <c r="AB89" s="30"/>
      <c r="AC89" s="30"/>
      <c r="AD89" s="30"/>
      <c r="AE89" s="30"/>
      <c r="AT89" s="18" t="s">
        <v>170</v>
      </c>
      <c r="AU89" s="18" t="s">
        <v>82</v>
      </c>
    </row>
    <row r="90" spans="1:31" s="2" customFormat="1" ht="6.95" customHeight="1">
      <c r="A90" s="30"/>
      <c r="B90" s="40"/>
      <c r="C90" s="41"/>
      <c r="D90" s="41"/>
      <c r="E90" s="41"/>
      <c r="F90" s="41"/>
      <c r="G90" s="41"/>
      <c r="H90" s="41"/>
      <c r="I90" s="41"/>
      <c r="J90" s="41"/>
      <c r="K90" s="41"/>
      <c r="L90" s="31"/>
      <c r="M90" s="30"/>
      <c r="O90" s="30"/>
      <c r="P90" s="30"/>
      <c r="Q90" s="30"/>
      <c r="R90" s="30"/>
      <c r="S90" s="30"/>
      <c r="T90" s="30"/>
      <c r="U90" s="30"/>
      <c r="V90" s="30"/>
      <c r="W90" s="30"/>
      <c r="X90" s="30"/>
      <c r="Y90" s="30"/>
      <c r="Z90" s="30"/>
      <c r="AA90" s="30"/>
      <c r="AB90" s="30"/>
      <c r="AC90" s="30"/>
      <c r="AD90" s="30"/>
      <c r="AE90" s="30"/>
    </row>
  </sheetData>
  <autoFilter ref="C81:K89"/>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fitToWidth="1" horizontalDpi="600" verticalDpi="600" orientation="portrait" paperSize="9" scale="77"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185" customWidth="1"/>
    <col min="2" max="2" width="1.7109375" style="185" customWidth="1"/>
    <col min="3" max="4" width="5.00390625" style="185" customWidth="1"/>
    <col min="5" max="5" width="11.7109375" style="185" customWidth="1"/>
    <col min="6" max="6" width="9.140625" style="185" customWidth="1"/>
    <col min="7" max="7" width="5.00390625" style="185" customWidth="1"/>
    <col min="8" max="8" width="77.8515625" style="185" customWidth="1"/>
    <col min="9" max="10" width="20.00390625" style="185" customWidth="1"/>
    <col min="11" max="11" width="1.7109375" style="185" customWidth="1"/>
  </cols>
  <sheetData>
    <row r="1" s="1" customFormat="1" ht="37.5" customHeight="1"/>
    <row r="2" spans="2:11" s="1" customFormat="1" ht="7.5" customHeight="1">
      <c r="B2" s="186"/>
      <c r="C2" s="187"/>
      <c r="D2" s="187"/>
      <c r="E2" s="187"/>
      <c r="F2" s="187"/>
      <c r="G2" s="187"/>
      <c r="H2" s="187"/>
      <c r="I2" s="187"/>
      <c r="J2" s="187"/>
      <c r="K2" s="188"/>
    </row>
    <row r="3" spans="2:11" s="16" customFormat="1" ht="45" customHeight="1">
      <c r="B3" s="189"/>
      <c r="C3" s="355" t="s">
        <v>701</v>
      </c>
      <c r="D3" s="355"/>
      <c r="E3" s="355"/>
      <c r="F3" s="355"/>
      <c r="G3" s="355"/>
      <c r="H3" s="355"/>
      <c r="I3" s="355"/>
      <c r="J3" s="355"/>
      <c r="K3" s="190"/>
    </row>
    <row r="4" spans="2:11" s="1" customFormat="1" ht="25.5" customHeight="1">
      <c r="B4" s="191"/>
      <c r="C4" s="356" t="s">
        <v>702</v>
      </c>
      <c r="D4" s="356"/>
      <c r="E4" s="356"/>
      <c r="F4" s="356"/>
      <c r="G4" s="356"/>
      <c r="H4" s="356"/>
      <c r="I4" s="356"/>
      <c r="J4" s="356"/>
      <c r="K4" s="192"/>
    </row>
    <row r="5" spans="2:11" s="1" customFormat="1" ht="5.25" customHeight="1">
      <c r="B5" s="191"/>
      <c r="C5" s="193"/>
      <c r="D5" s="193"/>
      <c r="E5" s="193"/>
      <c r="F5" s="193"/>
      <c r="G5" s="193"/>
      <c r="H5" s="193"/>
      <c r="I5" s="193"/>
      <c r="J5" s="193"/>
      <c r="K5" s="192"/>
    </row>
    <row r="6" spans="2:11" s="1" customFormat="1" ht="15" customHeight="1">
      <c r="B6" s="191"/>
      <c r="C6" s="354" t="s">
        <v>703</v>
      </c>
      <c r="D6" s="354"/>
      <c r="E6" s="354"/>
      <c r="F6" s="354"/>
      <c r="G6" s="354"/>
      <c r="H6" s="354"/>
      <c r="I6" s="354"/>
      <c r="J6" s="354"/>
      <c r="K6" s="192"/>
    </row>
    <row r="7" spans="2:11" s="1" customFormat="1" ht="15" customHeight="1">
      <c r="B7" s="195"/>
      <c r="C7" s="354" t="s">
        <v>704</v>
      </c>
      <c r="D7" s="354"/>
      <c r="E7" s="354"/>
      <c r="F7" s="354"/>
      <c r="G7" s="354"/>
      <c r="H7" s="354"/>
      <c r="I7" s="354"/>
      <c r="J7" s="354"/>
      <c r="K7" s="192"/>
    </row>
    <row r="8" spans="2:11" s="1" customFormat="1" ht="12.75" customHeight="1">
      <c r="B8" s="195"/>
      <c r="C8" s="194"/>
      <c r="D8" s="194"/>
      <c r="E8" s="194"/>
      <c r="F8" s="194"/>
      <c r="G8" s="194"/>
      <c r="H8" s="194"/>
      <c r="I8" s="194"/>
      <c r="J8" s="194"/>
      <c r="K8" s="192"/>
    </row>
    <row r="9" spans="2:11" s="1" customFormat="1" ht="15" customHeight="1">
      <c r="B9" s="195"/>
      <c r="C9" s="354" t="s">
        <v>705</v>
      </c>
      <c r="D9" s="354"/>
      <c r="E9" s="354"/>
      <c r="F9" s="354"/>
      <c r="G9" s="354"/>
      <c r="H9" s="354"/>
      <c r="I9" s="354"/>
      <c r="J9" s="354"/>
      <c r="K9" s="192"/>
    </row>
    <row r="10" spans="2:11" s="1" customFormat="1" ht="15" customHeight="1">
      <c r="B10" s="195"/>
      <c r="C10" s="194"/>
      <c r="D10" s="354" t="s">
        <v>706</v>
      </c>
      <c r="E10" s="354"/>
      <c r="F10" s="354"/>
      <c r="G10" s="354"/>
      <c r="H10" s="354"/>
      <c r="I10" s="354"/>
      <c r="J10" s="354"/>
      <c r="K10" s="192"/>
    </row>
    <row r="11" spans="2:11" s="1" customFormat="1" ht="15" customHeight="1">
      <c r="B11" s="195"/>
      <c r="C11" s="196"/>
      <c r="D11" s="354" t="s">
        <v>707</v>
      </c>
      <c r="E11" s="354"/>
      <c r="F11" s="354"/>
      <c r="G11" s="354"/>
      <c r="H11" s="354"/>
      <c r="I11" s="354"/>
      <c r="J11" s="354"/>
      <c r="K11" s="192"/>
    </row>
    <row r="12" spans="2:11" s="1" customFormat="1" ht="15" customHeight="1">
      <c r="B12" s="195"/>
      <c r="C12" s="196"/>
      <c r="D12" s="194"/>
      <c r="E12" s="194"/>
      <c r="F12" s="194"/>
      <c r="G12" s="194"/>
      <c r="H12" s="194"/>
      <c r="I12" s="194"/>
      <c r="J12" s="194"/>
      <c r="K12" s="192"/>
    </row>
    <row r="13" spans="2:11" s="1" customFormat="1" ht="15" customHeight="1">
      <c r="B13" s="195"/>
      <c r="C13" s="196"/>
      <c r="D13" s="197" t="s">
        <v>708</v>
      </c>
      <c r="E13" s="194"/>
      <c r="F13" s="194"/>
      <c r="G13" s="194"/>
      <c r="H13" s="194"/>
      <c r="I13" s="194"/>
      <c r="J13" s="194"/>
      <c r="K13" s="192"/>
    </row>
    <row r="14" spans="2:11" s="1" customFormat="1" ht="12.75" customHeight="1">
      <c r="B14" s="195"/>
      <c r="C14" s="196"/>
      <c r="D14" s="196"/>
      <c r="E14" s="196"/>
      <c r="F14" s="196"/>
      <c r="G14" s="196"/>
      <c r="H14" s="196"/>
      <c r="I14" s="196"/>
      <c r="J14" s="196"/>
      <c r="K14" s="192"/>
    </row>
    <row r="15" spans="2:11" s="1" customFormat="1" ht="15" customHeight="1">
      <c r="B15" s="195"/>
      <c r="C15" s="196"/>
      <c r="D15" s="354" t="s">
        <v>709</v>
      </c>
      <c r="E15" s="354"/>
      <c r="F15" s="354"/>
      <c r="G15" s="354"/>
      <c r="H15" s="354"/>
      <c r="I15" s="354"/>
      <c r="J15" s="354"/>
      <c r="K15" s="192"/>
    </row>
    <row r="16" spans="2:11" s="1" customFormat="1" ht="15" customHeight="1">
      <c r="B16" s="195"/>
      <c r="C16" s="196"/>
      <c r="D16" s="354" t="s">
        <v>710</v>
      </c>
      <c r="E16" s="354"/>
      <c r="F16" s="354"/>
      <c r="G16" s="354"/>
      <c r="H16" s="354"/>
      <c r="I16" s="354"/>
      <c r="J16" s="354"/>
      <c r="K16" s="192"/>
    </row>
    <row r="17" spans="2:11" s="1" customFormat="1" ht="15" customHeight="1">
      <c r="B17" s="195"/>
      <c r="C17" s="196"/>
      <c r="D17" s="354" t="s">
        <v>711</v>
      </c>
      <c r="E17" s="354"/>
      <c r="F17" s="354"/>
      <c r="G17" s="354"/>
      <c r="H17" s="354"/>
      <c r="I17" s="354"/>
      <c r="J17" s="354"/>
      <c r="K17" s="192"/>
    </row>
    <row r="18" spans="2:11" s="1" customFormat="1" ht="15" customHeight="1">
      <c r="B18" s="195"/>
      <c r="C18" s="196"/>
      <c r="D18" s="196"/>
      <c r="E18" s="198" t="s">
        <v>79</v>
      </c>
      <c r="F18" s="354" t="s">
        <v>712</v>
      </c>
      <c r="G18" s="354"/>
      <c r="H18" s="354"/>
      <c r="I18" s="354"/>
      <c r="J18" s="354"/>
      <c r="K18" s="192"/>
    </row>
    <row r="19" spans="2:11" s="1" customFormat="1" ht="15" customHeight="1">
      <c r="B19" s="195"/>
      <c r="C19" s="196"/>
      <c r="D19" s="196"/>
      <c r="E19" s="198" t="s">
        <v>713</v>
      </c>
      <c r="F19" s="354" t="s">
        <v>714</v>
      </c>
      <c r="G19" s="354"/>
      <c r="H19" s="354"/>
      <c r="I19" s="354"/>
      <c r="J19" s="354"/>
      <c r="K19" s="192"/>
    </row>
    <row r="20" spans="2:11" s="1" customFormat="1" ht="15" customHeight="1">
      <c r="B20" s="195"/>
      <c r="C20" s="196"/>
      <c r="D20" s="196"/>
      <c r="E20" s="198" t="s">
        <v>715</v>
      </c>
      <c r="F20" s="354" t="s">
        <v>716</v>
      </c>
      <c r="G20" s="354"/>
      <c r="H20" s="354"/>
      <c r="I20" s="354"/>
      <c r="J20" s="354"/>
      <c r="K20" s="192"/>
    </row>
    <row r="21" spans="2:11" s="1" customFormat="1" ht="15" customHeight="1">
      <c r="B21" s="195"/>
      <c r="C21" s="196"/>
      <c r="D21" s="196"/>
      <c r="E21" s="198" t="s">
        <v>717</v>
      </c>
      <c r="F21" s="354" t="s">
        <v>718</v>
      </c>
      <c r="G21" s="354"/>
      <c r="H21" s="354"/>
      <c r="I21" s="354"/>
      <c r="J21" s="354"/>
      <c r="K21" s="192"/>
    </row>
    <row r="22" spans="2:11" s="1" customFormat="1" ht="15" customHeight="1">
      <c r="B22" s="195"/>
      <c r="C22" s="196"/>
      <c r="D22" s="196"/>
      <c r="E22" s="198" t="s">
        <v>719</v>
      </c>
      <c r="F22" s="354" t="s">
        <v>720</v>
      </c>
      <c r="G22" s="354"/>
      <c r="H22" s="354"/>
      <c r="I22" s="354"/>
      <c r="J22" s="354"/>
      <c r="K22" s="192"/>
    </row>
    <row r="23" spans="2:11" s="1" customFormat="1" ht="15" customHeight="1">
      <c r="B23" s="195"/>
      <c r="C23" s="196"/>
      <c r="D23" s="196"/>
      <c r="E23" s="198" t="s">
        <v>721</v>
      </c>
      <c r="F23" s="354" t="s">
        <v>722</v>
      </c>
      <c r="G23" s="354"/>
      <c r="H23" s="354"/>
      <c r="I23" s="354"/>
      <c r="J23" s="354"/>
      <c r="K23" s="192"/>
    </row>
    <row r="24" spans="2:11" s="1" customFormat="1" ht="12.75" customHeight="1">
      <c r="B24" s="195"/>
      <c r="C24" s="196"/>
      <c r="D24" s="196"/>
      <c r="E24" s="196"/>
      <c r="F24" s="196"/>
      <c r="G24" s="196"/>
      <c r="H24" s="196"/>
      <c r="I24" s="196"/>
      <c r="J24" s="196"/>
      <c r="K24" s="192"/>
    </row>
    <row r="25" spans="2:11" s="1" customFormat="1" ht="15" customHeight="1">
      <c r="B25" s="195"/>
      <c r="C25" s="354" t="s">
        <v>723</v>
      </c>
      <c r="D25" s="354"/>
      <c r="E25" s="354"/>
      <c r="F25" s="354"/>
      <c r="G25" s="354"/>
      <c r="H25" s="354"/>
      <c r="I25" s="354"/>
      <c r="J25" s="354"/>
      <c r="K25" s="192"/>
    </row>
    <row r="26" spans="2:11" s="1" customFormat="1" ht="15" customHeight="1">
      <c r="B26" s="195"/>
      <c r="C26" s="354" t="s">
        <v>724</v>
      </c>
      <c r="D26" s="354"/>
      <c r="E26" s="354"/>
      <c r="F26" s="354"/>
      <c r="G26" s="354"/>
      <c r="H26" s="354"/>
      <c r="I26" s="354"/>
      <c r="J26" s="354"/>
      <c r="K26" s="192"/>
    </row>
    <row r="27" spans="2:11" s="1" customFormat="1" ht="15" customHeight="1">
      <c r="B27" s="195"/>
      <c r="C27" s="194"/>
      <c r="D27" s="354" t="s">
        <v>725</v>
      </c>
      <c r="E27" s="354"/>
      <c r="F27" s="354"/>
      <c r="G27" s="354"/>
      <c r="H27" s="354"/>
      <c r="I27" s="354"/>
      <c r="J27" s="354"/>
      <c r="K27" s="192"/>
    </row>
    <row r="28" spans="2:11" s="1" customFormat="1" ht="15" customHeight="1">
      <c r="B28" s="195"/>
      <c r="C28" s="196"/>
      <c r="D28" s="354" t="s">
        <v>726</v>
      </c>
      <c r="E28" s="354"/>
      <c r="F28" s="354"/>
      <c r="G28" s="354"/>
      <c r="H28" s="354"/>
      <c r="I28" s="354"/>
      <c r="J28" s="354"/>
      <c r="K28" s="192"/>
    </row>
    <row r="29" spans="2:11" s="1" customFormat="1" ht="12.75" customHeight="1">
      <c r="B29" s="195"/>
      <c r="C29" s="196"/>
      <c r="D29" s="196"/>
      <c r="E29" s="196"/>
      <c r="F29" s="196"/>
      <c r="G29" s="196"/>
      <c r="H29" s="196"/>
      <c r="I29" s="196"/>
      <c r="J29" s="196"/>
      <c r="K29" s="192"/>
    </row>
    <row r="30" spans="2:11" s="1" customFormat="1" ht="15" customHeight="1">
      <c r="B30" s="195"/>
      <c r="C30" s="196"/>
      <c r="D30" s="354" t="s">
        <v>727</v>
      </c>
      <c r="E30" s="354"/>
      <c r="F30" s="354"/>
      <c r="G30" s="354"/>
      <c r="H30" s="354"/>
      <c r="I30" s="354"/>
      <c r="J30" s="354"/>
      <c r="K30" s="192"/>
    </row>
    <row r="31" spans="2:11" s="1" customFormat="1" ht="15" customHeight="1">
      <c r="B31" s="195"/>
      <c r="C31" s="196"/>
      <c r="D31" s="354" t="s">
        <v>728</v>
      </c>
      <c r="E31" s="354"/>
      <c r="F31" s="354"/>
      <c r="G31" s="354"/>
      <c r="H31" s="354"/>
      <c r="I31" s="354"/>
      <c r="J31" s="354"/>
      <c r="K31" s="192"/>
    </row>
    <row r="32" spans="2:11" s="1" customFormat="1" ht="12.75" customHeight="1">
      <c r="B32" s="195"/>
      <c r="C32" s="196"/>
      <c r="D32" s="196"/>
      <c r="E32" s="196"/>
      <c r="F32" s="196"/>
      <c r="G32" s="196"/>
      <c r="H32" s="196"/>
      <c r="I32" s="196"/>
      <c r="J32" s="196"/>
      <c r="K32" s="192"/>
    </row>
    <row r="33" spans="2:11" s="1" customFormat="1" ht="15" customHeight="1">
      <c r="B33" s="195"/>
      <c r="C33" s="196"/>
      <c r="D33" s="354" t="s">
        <v>729</v>
      </c>
      <c r="E33" s="354"/>
      <c r="F33" s="354"/>
      <c r="G33" s="354"/>
      <c r="H33" s="354"/>
      <c r="I33" s="354"/>
      <c r="J33" s="354"/>
      <c r="K33" s="192"/>
    </row>
    <row r="34" spans="2:11" s="1" customFormat="1" ht="15" customHeight="1">
      <c r="B34" s="195"/>
      <c r="C34" s="196"/>
      <c r="D34" s="354" t="s">
        <v>730</v>
      </c>
      <c r="E34" s="354"/>
      <c r="F34" s="354"/>
      <c r="G34" s="354"/>
      <c r="H34" s="354"/>
      <c r="I34" s="354"/>
      <c r="J34" s="354"/>
      <c r="K34" s="192"/>
    </row>
    <row r="35" spans="2:11" s="1" customFormat="1" ht="15" customHeight="1">
      <c r="B35" s="195"/>
      <c r="C35" s="196"/>
      <c r="D35" s="354" t="s">
        <v>731</v>
      </c>
      <c r="E35" s="354"/>
      <c r="F35" s="354"/>
      <c r="G35" s="354"/>
      <c r="H35" s="354"/>
      <c r="I35" s="354"/>
      <c r="J35" s="354"/>
      <c r="K35" s="192"/>
    </row>
    <row r="36" spans="2:11" s="1" customFormat="1" ht="15" customHeight="1">
      <c r="B36" s="195"/>
      <c r="C36" s="196"/>
      <c r="D36" s="194"/>
      <c r="E36" s="197" t="s">
        <v>119</v>
      </c>
      <c r="F36" s="194"/>
      <c r="G36" s="354" t="s">
        <v>732</v>
      </c>
      <c r="H36" s="354"/>
      <c r="I36" s="354"/>
      <c r="J36" s="354"/>
      <c r="K36" s="192"/>
    </row>
    <row r="37" spans="2:11" s="1" customFormat="1" ht="30.75" customHeight="1">
      <c r="B37" s="195"/>
      <c r="C37" s="196"/>
      <c r="D37" s="194"/>
      <c r="E37" s="197" t="s">
        <v>733</v>
      </c>
      <c r="F37" s="194"/>
      <c r="G37" s="354" t="s">
        <v>734</v>
      </c>
      <c r="H37" s="354"/>
      <c r="I37" s="354"/>
      <c r="J37" s="354"/>
      <c r="K37" s="192"/>
    </row>
    <row r="38" spans="2:11" s="1" customFormat="1" ht="15" customHeight="1">
      <c r="B38" s="195"/>
      <c r="C38" s="196"/>
      <c r="D38" s="194"/>
      <c r="E38" s="197" t="s">
        <v>53</v>
      </c>
      <c r="F38" s="194"/>
      <c r="G38" s="354" t="s">
        <v>735</v>
      </c>
      <c r="H38" s="354"/>
      <c r="I38" s="354"/>
      <c r="J38" s="354"/>
      <c r="K38" s="192"/>
    </row>
    <row r="39" spans="2:11" s="1" customFormat="1" ht="15" customHeight="1">
      <c r="B39" s="195"/>
      <c r="C39" s="196"/>
      <c r="D39" s="194"/>
      <c r="E39" s="197" t="s">
        <v>54</v>
      </c>
      <c r="F39" s="194"/>
      <c r="G39" s="354" t="s">
        <v>736</v>
      </c>
      <c r="H39" s="354"/>
      <c r="I39" s="354"/>
      <c r="J39" s="354"/>
      <c r="K39" s="192"/>
    </row>
    <row r="40" spans="2:11" s="1" customFormat="1" ht="15" customHeight="1">
      <c r="B40" s="195"/>
      <c r="C40" s="196"/>
      <c r="D40" s="194"/>
      <c r="E40" s="197" t="s">
        <v>120</v>
      </c>
      <c r="F40" s="194"/>
      <c r="G40" s="354" t="s">
        <v>737</v>
      </c>
      <c r="H40" s="354"/>
      <c r="I40" s="354"/>
      <c r="J40" s="354"/>
      <c r="K40" s="192"/>
    </row>
    <row r="41" spans="2:11" s="1" customFormat="1" ht="15" customHeight="1">
      <c r="B41" s="195"/>
      <c r="C41" s="196"/>
      <c r="D41" s="194"/>
      <c r="E41" s="197" t="s">
        <v>121</v>
      </c>
      <c r="F41" s="194"/>
      <c r="G41" s="354" t="s">
        <v>738</v>
      </c>
      <c r="H41" s="354"/>
      <c r="I41" s="354"/>
      <c r="J41" s="354"/>
      <c r="K41" s="192"/>
    </row>
    <row r="42" spans="2:11" s="1" customFormat="1" ht="15" customHeight="1">
      <c r="B42" s="195"/>
      <c r="C42" s="196"/>
      <c r="D42" s="194"/>
      <c r="E42" s="197" t="s">
        <v>739</v>
      </c>
      <c r="F42" s="194"/>
      <c r="G42" s="354" t="s">
        <v>740</v>
      </c>
      <c r="H42" s="354"/>
      <c r="I42" s="354"/>
      <c r="J42" s="354"/>
      <c r="K42" s="192"/>
    </row>
    <row r="43" spans="2:11" s="1" customFormat="1" ht="15" customHeight="1">
      <c r="B43" s="195"/>
      <c r="C43" s="196"/>
      <c r="D43" s="194"/>
      <c r="E43" s="197"/>
      <c r="F43" s="194"/>
      <c r="G43" s="354" t="s">
        <v>741</v>
      </c>
      <c r="H43" s="354"/>
      <c r="I43" s="354"/>
      <c r="J43" s="354"/>
      <c r="K43" s="192"/>
    </row>
    <row r="44" spans="2:11" s="1" customFormat="1" ht="15" customHeight="1">
      <c r="B44" s="195"/>
      <c r="C44" s="196"/>
      <c r="D44" s="194"/>
      <c r="E44" s="197" t="s">
        <v>742</v>
      </c>
      <c r="F44" s="194"/>
      <c r="G44" s="354" t="s">
        <v>743</v>
      </c>
      <c r="H44" s="354"/>
      <c r="I44" s="354"/>
      <c r="J44" s="354"/>
      <c r="K44" s="192"/>
    </row>
    <row r="45" spans="2:11" s="1" customFormat="1" ht="15" customHeight="1">
      <c r="B45" s="195"/>
      <c r="C45" s="196"/>
      <c r="D45" s="194"/>
      <c r="E45" s="197" t="s">
        <v>123</v>
      </c>
      <c r="F45" s="194"/>
      <c r="G45" s="354" t="s">
        <v>744</v>
      </c>
      <c r="H45" s="354"/>
      <c r="I45" s="354"/>
      <c r="J45" s="354"/>
      <c r="K45" s="192"/>
    </row>
    <row r="46" spans="2:11" s="1" customFormat="1" ht="12.75" customHeight="1">
      <c r="B46" s="195"/>
      <c r="C46" s="196"/>
      <c r="D46" s="194"/>
      <c r="E46" s="194"/>
      <c r="F46" s="194"/>
      <c r="G46" s="194"/>
      <c r="H46" s="194"/>
      <c r="I46" s="194"/>
      <c r="J46" s="194"/>
      <c r="K46" s="192"/>
    </row>
    <row r="47" spans="2:11" s="1" customFormat="1" ht="15" customHeight="1">
      <c r="B47" s="195"/>
      <c r="C47" s="196"/>
      <c r="D47" s="354" t="s">
        <v>745</v>
      </c>
      <c r="E47" s="354"/>
      <c r="F47" s="354"/>
      <c r="G47" s="354"/>
      <c r="H47" s="354"/>
      <c r="I47" s="354"/>
      <c r="J47" s="354"/>
      <c r="K47" s="192"/>
    </row>
    <row r="48" spans="2:11" s="1" customFormat="1" ht="15" customHeight="1">
      <c r="B48" s="195"/>
      <c r="C48" s="196"/>
      <c r="D48" s="196"/>
      <c r="E48" s="354" t="s">
        <v>746</v>
      </c>
      <c r="F48" s="354"/>
      <c r="G48" s="354"/>
      <c r="H48" s="354"/>
      <c r="I48" s="354"/>
      <c r="J48" s="354"/>
      <c r="K48" s="192"/>
    </row>
    <row r="49" spans="2:11" s="1" customFormat="1" ht="15" customHeight="1">
      <c r="B49" s="195"/>
      <c r="C49" s="196"/>
      <c r="D49" s="196"/>
      <c r="E49" s="354" t="s">
        <v>747</v>
      </c>
      <c r="F49" s="354"/>
      <c r="G49" s="354"/>
      <c r="H49" s="354"/>
      <c r="I49" s="354"/>
      <c r="J49" s="354"/>
      <c r="K49" s="192"/>
    </row>
    <row r="50" spans="2:11" s="1" customFormat="1" ht="15" customHeight="1">
      <c r="B50" s="195"/>
      <c r="C50" s="196"/>
      <c r="D50" s="196"/>
      <c r="E50" s="354" t="s">
        <v>748</v>
      </c>
      <c r="F50" s="354"/>
      <c r="G50" s="354"/>
      <c r="H50" s="354"/>
      <c r="I50" s="354"/>
      <c r="J50" s="354"/>
      <c r="K50" s="192"/>
    </row>
    <row r="51" spans="2:11" s="1" customFormat="1" ht="15" customHeight="1">
      <c r="B51" s="195"/>
      <c r="C51" s="196"/>
      <c r="D51" s="354" t="s">
        <v>749</v>
      </c>
      <c r="E51" s="354"/>
      <c r="F51" s="354"/>
      <c r="G51" s="354"/>
      <c r="H51" s="354"/>
      <c r="I51" s="354"/>
      <c r="J51" s="354"/>
      <c r="K51" s="192"/>
    </row>
    <row r="52" spans="2:11" s="1" customFormat="1" ht="25.5" customHeight="1">
      <c r="B52" s="191"/>
      <c r="C52" s="356" t="s">
        <v>750</v>
      </c>
      <c r="D52" s="356"/>
      <c r="E52" s="356"/>
      <c r="F52" s="356"/>
      <c r="G52" s="356"/>
      <c r="H52" s="356"/>
      <c r="I52" s="356"/>
      <c r="J52" s="356"/>
      <c r="K52" s="192"/>
    </row>
    <row r="53" spans="2:11" s="1" customFormat="1" ht="5.25" customHeight="1">
      <c r="B53" s="191"/>
      <c r="C53" s="193"/>
      <c r="D53" s="193"/>
      <c r="E53" s="193"/>
      <c r="F53" s="193"/>
      <c r="G53" s="193"/>
      <c r="H53" s="193"/>
      <c r="I53" s="193"/>
      <c r="J53" s="193"/>
      <c r="K53" s="192"/>
    </row>
    <row r="54" spans="2:11" s="1" customFormat="1" ht="15" customHeight="1">
      <c r="B54" s="191"/>
      <c r="C54" s="354" t="s">
        <v>751</v>
      </c>
      <c r="D54" s="354"/>
      <c r="E54" s="354"/>
      <c r="F54" s="354"/>
      <c r="G54" s="354"/>
      <c r="H54" s="354"/>
      <c r="I54" s="354"/>
      <c r="J54" s="354"/>
      <c r="K54" s="192"/>
    </row>
    <row r="55" spans="2:11" s="1" customFormat="1" ht="15" customHeight="1">
      <c r="B55" s="191"/>
      <c r="C55" s="354" t="s">
        <v>752</v>
      </c>
      <c r="D55" s="354"/>
      <c r="E55" s="354"/>
      <c r="F55" s="354"/>
      <c r="G55" s="354"/>
      <c r="H55" s="354"/>
      <c r="I55" s="354"/>
      <c r="J55" s="354"/>
      <c r="K55" s="192"/>
    </row>
    <row r="56" spans="2:11" s="1" customFormat="1" ht="12.75" customHeight="1">
      <c r="B56" s="191"/>
      <c r="C56" s="194"/>
      <c r="D56" s="194"/>
      <c r="E56" s="194"/>
      <c r="F56" s="194"/>
      <c r="G56" s="194"/>
      <c r="H56" s="194"/>
      <c r="I56" s="194"/>
      <c r="J56" s="194"/>
      <c r="K56" s="192"/>
    </row>
    <row r="57" spans="2:11" s="1" customFormat="1" ht="15" customHeight="1">
      <c r="B57" s="191"/>
      <c r="C57" s="354" t="s">
        <v>753</v>
      </c>
      <c r="D57" s="354"/>
      <c r="E57" s="354"/>
      <c r="F57" s="354"/>
      <c r="G57" s="354"/>
      <c r="H57" s="354"/>
      <c r="I57" s="354"/>
      <c r="J57" s="354"/>
      <c r="K57" s="192"/>
    </row>
    <row r="58" spans="2:11" s="1" customFormat="1" ht="15" customHeight="1">
      <c r="B58" s="191"/>
      <c r="C58" s="196"/>
      <c r="D58" s="354" t="s">
        <v>754</v>
      </c>
      <c r="E58" s="354"/>
      <c r="F58" s="354"/>
      <c r="G58" s="354"/>
      <c r="H58" s="354"/>
      <c r="I58" s="354"/>
      <c r="J58" s="354"/>
      <c r="K58" s="192"/>
    </row>
    <row r="59" spans="2:11" s="1" customFormat="1" ht="15" customHeight="1">
      <c r="B59" s="191"/>
      <c r="C59" s="196"/>
      <c r="D59" s="354" t="s">
        <v>755</v>
      </c>
      <c r="E59" s="354"/>
      <c r="F59" s="354"/>
      <c r="G59" s="354"/>
      <c r="H59" s="354"/>
      <c r="I59" s="354"/>
      <c r="J59" s="354"/>
      <c r="K59" s="192"/>
    </row>
    <row r="60" spans="2:11" s="1" customFormat="1" ht="15" customHeight="1">
      <c r="B60" s="191"/>
      <c r="C60" s="196"/>
      <c r="D60" s="354" t="s">
        <v>756</v>
      </c>
      <c r="E60" s="354"/>
      <c r="F60" s="354"/>
      <c r="G60" s="354"/>
      <c r="H60" s="354"/>
      <c r="I60" s="354"/>
      <c r="J60" s="354"/>
      <c r="K60" s="192"/>
    </row>
    <row r="61" spans="2:11" s="1" customFormat="1" ht="15" customHeight="1">
      <c r="B61" s="191"/>
      <c r="C61" s="196"/>
      <c r="D61" s="354" t="s">
        <v>757</v>
      </c>
      <c r="E61" s="354"/>
      <c r="F61" s="354"/>
      <c r="G61" s="354"/>
      <c r="H61" s="354"/>
      <c r="I61" s="354"/>
      <c r="J61" s="354"/>
      <c r="K61" s="192"/>
    </row>
    <row r="62" spans="2:11" s="1" customFormat="1" ht="15" customHeight="1">
      <c r="B62" s="191"/>
      <c r="C62" s="196"/>
      <c r="D62" s="358" t="s">
        <v>758</v>
      </c>
      <c r="E62" s="358"/>
      <c r="F62" s="358"/>
      <c r="G62" s="358"/>
      <c r="H62" s="358"/>
      <c r="I62" s="358"/>
      <c r="J62" s="358"/>
      <c r="K62" s="192"/>
    </row>
    <row r="63" spans="2:11" s="1" customFormat="1" ht="15" customHeight="1">
      <c r="B63" s="191"/>
      <c r="C63" s="196"/>
      <c r="D63" s="354" t="s">
        <v>759</v>
      </c>
      <c r="E63" s="354"/>
      <c r="F63" s="354"/>
      <c r="G63" s="354"/>
      <c r="H63" s="354"/>
      <c r="I63" s="354"/>
      <c r="J63" s="354"/>
      <c r="K63" s="192"/>
    </row>
    <row r="64" spans="2:11" s="1" customFormat="1" ht="12.75" customHeight="1">
      <c r="B64" s="191"/>
      <c r="C64" s="196"/>
      <c r="D64" s="196"/>
      <c r="E64" s="199"/>
      <c r="F64" s="196"/>
      <c r="G64" s="196"/>
      <c r="H64" s="196"/>
      <c r="I64" s="196"/>
      <c r="J64" s="196"/>
      <c r="K64" s="192"/>
    </row>
    <row r="65" spans="2:11" s="1" customFormat="1" ht="15" customHeight="1">
      <c r="B65" s="191"/>
      <c r="C65" s="196"/>
      <c r="D65" s="354" t="s">
        <v>760</v>
      </c>
      <c r="E65" s="354"/>
      <c r="F65" s="354"/>
      <c r="G65" s="354"/>
      <c r="H65" s="354"/>
      <c r="I65" s="354"/>
      <c r="J65" s="354"/>
      <c r="K65" s="192"/>
    </row>
    <row r="66" spans="2:11" s="1" customFormat="1" ht="15" customHeight="1">
      <c r="B66" s="191"/>
      <c r="C66" s="196"/>
      <c r="D66" s="358" t="s">
        <v>761</v>
      </c>
      <c r="E66" s="358"/>
      <c r="F66" s="358"/>
      <c r="G66" s="358"/>
      <c r="H66" s="358"/>
      <c r="I66" s="358"/>
      <c r="J66" s="358"/>
      <c r="K66" s="192"/>
    </row>
    <row r="67" spans="2:11" s="1" customFormat="1" ht="15" customHeight="1">
      <c r="B67" s="191"/>
      <c r="C67" s="196"/>
      <c r="D67" s="354" t="s">
        <v>762</v>
      </c>
      <c r="E67" s="354"/>
      <c r="F67" s="354"/>
      <c r="G67" s="354"/>
      <c r="H67" s="354"/>
      <c r="I67" s="354"/>
      <c r="J67" s="354"/>
      <c r="K67" s="192"/>
    </row>
    <row r="68" spans="2:11" s="1" customFormat="1" ht="15" customHeight="1">
      <c r="B68" s="191"/>
      <c r="C68" s="196"/>
      <c r="D68" s="354" t="s">
        <v>763</v>
      </c>
      <c r="E68" s="354"/>
      <c r="F68" s="354"/>
      <c r="G68" s="354"/>
      <c r="H68" s="354"/>
      <c r="I68" s="354"/>
      <c r="J68" s="354"/>
      <c r="K68" s="192"/>
    </row>
    <row r="69" spans="2:11" s="1" customFormat="1" ht="15" customHeight="1">
      <c r="B69" s="191"/>
      <c r="C69" s="196"/>
      <c r="D69" s="354" t="s">
        <v>764</v>
      </c>
      <c r="E69" s="354"/>
      <c r="F69" s="354"/>
      <c r="G69" s="354"/>
      <c r="H69" s="354"/>
      <c r="I69" s="354"/>
      <c r="J69" s="354"/>
      <c r="K69" s="192"/>
    </row>
    <row r="70" spans="2:11" s="1" customFormat="1" ht="15" customHeight="1">
      <c r="B70" s="191"/>
      <c r="C70" s="196"/>
      <c r="D70" s="354" t="s">
        <v>765</v>
      </c>
      <c r="E70" s="354"/>
      <c r="F70" s="354"/>
      <c r="G70" s="354"/>
      <c r="H70" s="354"/>
      <c r="I70" s="354"/>
      <c r="J70" s="354"/>
      <c r="K70" s="192"/>
    </row>
    <row r="71" spans="2:11" s="1" customFormat="1" ht="12.75" customHeight="1">
      <c r="B71" s="200"/>
      <c r="C71" s="201"/>
      <c r="D71" s="201"/>
      <c r="E71" s="201"/>
      <c r="F71" s="201"/>
      <c r="G71" s="201"/>
      <c r="H71" s="201"/>
      <c r="I71" s="201"/>
      <c r="J71" s="201"/>
      <c r="K71" s="202"/>
    </row>
    <row r="72" spans="2:11" s="1" customFormat="1" ht="18.75" customHeight="1">
      <c r="B72" s="203"/>
      <c r="C72" s="203"/>
      <c r="D72" s="203"/>
      <c r="E72" s="203"/>
      <c r="F72" s="203"/>
      <c r="G72" s="203"/>
      <c r="H72" s="203"/>
      <c r="I72" s="203"/>
      <c r="J72" s="203"/>
      <c r="K72" s="204"/>
    </row>
    <row r="73" spans="2:11" s="1" customFormat="1" ht="18.75" customHeight="1">
      <c r="B73" s="204"/>
      <c r="C73" s="204"/>
      <c r="D73" s="204"/>
      <c r="E73" s="204"/>
      <c r="F73" s="204"/>
      <c r="G73" s="204"/>
      <c r="H73" s="204"/>
      <c r="I73" s="204"/>
      <c r="J73" s="204"/>
      <c r="K73" s="204"/>
    </row>
    <row r="74" spans="2:11" s="1" customFormat="1" ht="7.5" customHeight="1">
      <c r="B74" s="205"/>
      <c r="C74" s="206"/>
      <c r="D74" s="206"/>
      <c r="E74" s="206"/>
      <c r="F74" s="206"/>
      <c r="G74" s="206"/>
      <c r="H74" s="206"/>
      <c r="I74" s="206"/>
      <c r="J74" s="206"/>
      <c r="K74" s="207"/>
    </row>
    <row r="75" spans="2:11" s="1" customFormat="1" ht="45" customHeight="1">
      <c r="B75" s="208"/>
      <c r="C75" s="357" t="s">
        <v>766</v>
      </c>
      <c r="D75" s="357"/>
      <c r="E75" s="357"/>
      <c r="F75" s="357"/>
      <c r="G75" s="357"/>
      <c r="H75" s="357"/>
      <c r="I75" s="357"/>
      <c r="J75" s="357"/>
      <c r="K75" s="209"/>
    </row>
    <row r="76" spans="2:11" s="1" customFormat="1" ht="17.25" customHeight="1">
      <c r="B76" s="208"/>
      <c r="C76" s="210" t="s">
        <v>767</v>
      </c>
      <c r="D76" s="210"/>
      <c r="E76" s="210"/>
      <c r="F76" s="210" t="s">
        <v>768</v>
      </c>
      <c r="G76" s="211"/>
      <c r="H76" s="210" t="s">
        <v>54</v>
      </c>
      <c r="I76" s="210" t="s">
        <v>57</v>
      </c>
      <c r="J76" s="210" t="s">
        <v>769</v>
      </c>
      <c r="K76" s="209"/>
    </row>
    <row r="77" spans="2:11" s="1" customFormat="1" ht="17.25" customHeight="1">
      <c r="B77" s="208"/>
      <c r="C77" s="212" t="s">
        <v>770</v>
      </c>
      <c r="D77" s="212"/>
      <c r="E77" s="212"/>
      <c r="F77" s="213" t="s">
        <v>771</v>
      </c>
      <c r="G77" s="214"/>
      <c r="H77" s="212"/>
      <c r="I77" s="212"/>
      <c r="J77" s="212" t="s">
        <v>772</v>
      </c>
      <c r="K77" s="209"/>
    </row>
    <row r="78" spans="2:11" s="1" customFormat="1" ht="5.25" customHeight="1">
      <c r="B78" s="208"/>
      <c r="C78" s="215"/>
      <c r="D78" s="215"/>
      <c r="E78" s="215"/>
      <c r="F78" s="215"/>
      <c r="G78" s="216"/>
      <c r="H78" s="215"/>
      <c r="I78" s="215"/>
      <c r="J78" s="215"/>
      <c r="K78" s="209"/>
    </row>
    <row r="79" spans="2:11" s="1" customFormat="1" ht="15" customHeight="1">
      <c r="B79" s="208"/>
      <c r="C79" s="197" t="s">
        <v>53</v>
      </c>
      <c r="D79" s="217"/>
      <c r="E79" s="217"/>
      <c r="F79" s="218" t="s">
        <v>773</v>
      </c>
      <c r="G79" s="219"/>
      <c r="H79" s="197" t="s">
        <v>774</v>
      </c>
      <c r="I79" s="197" t="s">
        <v>775</v>
      </c>
      <c r="J79" s="197">
        <v>20</v>
      </c>
      <c r="K79" s="209"/>
    </row>
    <row r="80" spans="2:11" s="1" customFormat="1" ht="15" customHeight="1">
      <c r="B80" s="208"/>
      <c r="C80" s="197" t="s">
        <v>776</v>
      </c>
      <c r="D80" s="197"/>
      <c r="E80" s="197"/>
      <c r="F80" s="218" t="s">
        <v>773</v>
      </c>
      <c r="G80" s="219"/>
      <c r="H80" s="197" t="s">
        <v>777</v>
      </c>
      <c r="I80" s="197" t="s">
        <v>775</v>
      </c>
      <c r="J80" s="197">
        <v>120</v>
      </c>
      <c r="K80" s="209"/>
    </row>
    <row r="81" spans="2:11" s="1" customFormat="1" ht="15" customHeight="1">
      <c r="B81" s="220"/>
      <c r="C81" s="197" t="s">
        <v>778</v>
      </c>
      <c r="D81" s="197"/>
      <c r="E81" s="197"/>
      <c r="F81" s="218" t="s">
        <v>779</v>
      </c>
      <c r="G81" s="219"/>
      <c r="H81" s="197" t="s">
        <v>780</v>
      </c>
      <c r="I81" s="197" t="s">
        <v>775</v>
      </c>
      <c r="J81" s="197">
        <v>50</v>
      </c>
      <c r="K81" s="209"/>
    </row>
    <row r="82" spans="2:11" s="1" customFormat="1" ht="15" customHeight="1">
      <c r="B82" s="220"/>
      <c r="C82" s="197" t="s">
        <v>781</v>
      </c>
      <c r="D82" s="197"/>
      <c r="E82" s="197"/>
      <c r="F82" s="218" t="s">
        <v>773</v>
      </c>
      <c r="G82" s="219"/>
      <c r="H82" s="197" t="s">
        <v>782</v>
      </c>
      <c r="I82" s="197" t="s">
        <v>783</v>
      </c>
      <c r="J82" s="197"/>
      <c r="K82" s="209"/>
    </row>
    <row r="83" spans="2:11" s="1" customFormat="1" ht="15" customHeight="1">
      <c r="B83" s="220"/>
      <c r="C83" s="221" t="s">
        <v>784</v>
      </c>
      <c r="D83" s="221"/>
      <c r="E83" s="221"/>
      <c r="F83" s="222" t="s">
        <v>779</v>
      </c>
      <c r="G83" s="221"/>
      <c r="H83" s="221" t="s">
        <v>785</v>
      </c>
      <c r="I83" s="221" t="s">
        <v>775</v>
      </c>
      <c r="J83" s="221">
        <v>15</v>
      </c>
      <c r="K83" s="209"/>
    </row>
    <row r="84" spans="2:11" s="1" customFormat="1" ht="15" customHeight="1">
      <c r="B84" s="220"/>
      <c r="C84" s="221" t="s">
        <v>786</v>
      </c>
      <c r="D84" s="221"/>
      <c r="E84" s="221"/>
      <c r="F84" s="222" t="s">
        <v>779</v>
      </c>
      <c r="G84" s="221"/>
      <c r="H84" s="221" t="s">
        <v>787</v>
      </c>
      <c r="I84" s="221" t="s">
        <v>775</v>
      </c>
      <c r="J84" s="221">
        <v>15</v>
      </c>
      <c r="K84" s="209"/>
    </row>
    <row r="85" spans="2:11" s="1" customFormat="1" ht="15" customHeight="1">
      <c r="B85" s="220"/>
      <c r="C85" s="221" t="s">
        <v>788</v>
      </c>
      <c r="D85" s="221"/>
      <c r="E85" s="221"/>
      <c r="F85" s="222" t="s">
        <v>779</v>
      </c>
      <c r="G85" s="221"/>
      <c r="H85" s="221" t="s">
        <v>789</v>
      </c>
      <c r="I85" s="221" t="s">
        <v>775</v>
      </c>
      <c r="J85" s="221">
        <v>20</v>
      </c>
      <c r="K85" s="209"/>
    </row>
    <row r="86" spans="2:11" s="1" customFormat="1" ht="15" customHeight="1">
      <c r="B86" s="220"/>
      <c r="C86" s="221" t="s">
        <v>790</v>
      </c>
      <c r="D86" s="221"/>
      <c r="E86" s="221"/>
      <c r="F86" s="222" t="s">
        <v>779</v>
      </c>
      <c r="G86" s="221"/>
      <c r="H86" s="221" t="s">
        <v>791</v>
      </c>
      <c r="I86" s="221" t="s">
        <v>775</v>
      </c>
      <c r="J86" s="221">
        <v>20</v>
      </c>
      <c r="K86" s="209"/>
    </row>
    <row r="87" spans="2:11" s="1" customFormat="1" ht="15" customHeight="1">
      <c r="B87" s="220"/>
      <c r="C87" s="197" t="s">
        <v>792</v>
      </c>
      <c r="D87" s="197"/>
      <c r="E87" s="197"/>
      <c r="F87" s="218" t="s">
        <v>779</v>
      </c>
      <c r="G87" s="219"/>
      <c r="H87" s="197" t="s">
        <v>793</v>
      </c>
      <c r="I87" s="197" t="s">
        <v>775</v>
      </c>
      <c r="J87" s="197">
        <v>50</v>
      </c>
      <c r="K87" s="209"/>
    </row>
    <row r="88" spans="2:11" s="1" customFormat="1" ht="15" customHeight="1">
      <c r="B88" s="220"/>
      <c r="C88" s="197" t="s">
        <v>794</v>
      </c>
      <c r="D88" s="197"/>
      <c r="E88" s="197"/>
      <c r="F88" s="218" t="s">
        <v>779</v>
      </c>
      <c r="G88" s="219"/>
      <c r="H88" s="197" t="s">
        <v>795</v>
      </c>
      <c r="I88" s="197" t="s">
        <v>775</v>
      </c>
      <c r="J88" s="197">
        <v>20</v>
      </c>
      <c r="K88" s="209"/>
    </row>
    <row r="89" spans="2:11" s="1" customFormat="1" ht="15" customHeight="1">
      <c r="B89" s="220"/>
      <c r="C89" s="197" t="s">
        <v>796</v>
      </c>
      <c r="D89" s="197"/>
      <c r="E89" s="197"/>
      <c r="F89" s="218" t="s">
        <v>779</v>
      </c>
      <c r="G89" s="219"/>
      <c r="H89" s="197" t="s">
        <v>797</v>
      </c>
      <c r="I89" s="197" t="s">
        <v>775</v>
      </c>
      <c r="J89" s="197">
        <v>20</v>
      </c>
      <c r="K89" s="209"/>
    </row>
    <row r="90" spans="2:11" s="1" customFormat="1" ht="15" customHeight="1">
      <c r="B90" s="220"/>
      <c r="C90" s="197" t="s">
        <v>798</v>
      </c>
      <c r="D90" s="197"/>
      <c r="E90" s="197"/>
      <c r="F90" s="218" t="s">
        <v>779</v>
      </c>
      <c r="G90" s="219"/>
      <c r="H90" s="197" t="s">
        <v>799</v>
      </c>
      <c r="I90" s="197" t="s">
        <v>775</v>
      </c>
      <c r="J90" s="197">
        <v>50</v>
      </c>
      <c r="K90" s="209"/>
    </row>
    <row r="91" spans="2:11" s="1" customFormat="1" ht="15" customHeight="1">
      <c r="B91" s="220"/>
      <c r="C91" s="197" t="s">
        <v>800</v>
      </c>
      <c r="D91" s="197"/>
      <c r="E91" s="197"/>
      <c r="F91" s="218" t="s">
        <v>779</v>
      </c>
      <c r="G91" s="219"/>
      <c r="H91" s="197" t="s">
        <v>800</v>
      </c>
      <c r="I91" s="197" t="s">
        <v>775</v>
      </c>
      <c r="J91" s="197">
        <v>50</v>
      </c>
      <c r="K91" s="209"/>
    </row>
    <row r="92" spans="2:11" s="1" customFormat="1" ht="15" customHeight="1">
      <c r="B92" s="220"/>
      <c r="C92" s="197" t="s">
        <v>801</v>
      </c>
      <c r="D92" s="197"/>
      <c r="E92" s="197"/>
      <c r="F92" s="218" t="s">
        <v>779</v>
      </c>
      <c r="G92" s="219"/>
      <c r="H92" s="197" t="s">
        <v>802</v>
      </c>
      <c r="I92" s="197" t="s">
        <v>775</v>
      </c>
      <c r="J92" s="197">
        <v>255</v>
      </c>
      <c r="K92" s="209"/>
    </row>
    <row r="93" spans="2:11" s="1" customFormat="1" ht="15" customHeight="1">
      <c r="B93" s="220"/>
      <c r="C93" s="197" t="s">
        <v>803</v>
      </c>
      <c r="D93" s="197"/>
      <c r="E93" s="197"/>
      <c r="F93" s="218" t="s">
        <v>773</v>
      </c>
      <c r="G93" s="219"/>
      <c r="H93" s="197" t="s">
        <v>804</v>
      </c>
      <c r="I93" s="197" t="s">
        <v>805</v>
      </c>
      <c r="J93" s="197"/>
      <c r="K93" s="209"/>
    </row>
    <row r="94" spans="2:11" s="1" customFormat="1" ht="15" customHeight="1">
      <c r="B94" s="220"/>
      <c r="C94" s="197" t="s">
        <v>806</v>
      </c>
      <c r="D94" s="197"/>
      <c r="E94" s="197"/>
      <c r="F94" s="218" t="s">
        <v>773</v>
      </c>
      <c r="G94" s="219"/>
      <c r="H94" s="197" t="s">
        <v>807</v>
      </c>
      <c r="I94" s="197" t="s">
        <v>808</v>
      </c>
      <c r="J94" s="197"/>
      <c r="K94" s="209"/>
    </row>
    <row r="95" spans="2:11" s="1" customFormat="1" ht="15" customHeight="1">
      <c r="B95" s="220"/>
      <c r="C95" s="197" t="s">
        <v>809</v>
      </c>
      <c r="D95" s="197"/>
      <c r="E95" s="197"/>
      <c r="F95" s="218" t="s">
        <v>773</v>
      </c>
      <c r="G95" s="219"/>
      <c r="H95" s="197" t="s">
        <v>809</v>
      </c>
      <c r="I95" s="197" t="s">
        <v>808</v>
      </c>
      <c r="J95" s="197"/>
      <c r="K95" s="209"/>
    </row>
    <row r="96" spans="2:11" s="1" customFormat="1" ht="15" customHeight="1">
      <c r="B96" s="220"/>
      <c r="C96" s="197" t="s">
        <v>38</v>
      </c>
      <c r="D96" s="197"/>
      <c r="E96" s="197"/>
      <c r="F96" s="218" t="s">
        <v>773</v>
      </c>
      <c r="G96" s="219"/>
      <c r="H96" s="197" t="s">
        <v>810</v>
      </c>
      <c r="I96" s="197" t="s">
        <v>808</v>
      </c>
      <c r="J96" s="197"/>
      <c r="K96" s="209"/>
    </row>
    <row r="97" spans="2:11" s="1" customFormat="1" ht="15" customHeight="1">
      <c r="B97" s="220"/>
      <c r="C97" s="197" t="s">
        <v>48</v>
      </c>
      <c r="D97" s="197"/>
      <c r="E97" s="197"/>
      <c r="F97" s="218" t="s">
        <v>773</v>
      </c>
      <c r="G97" s="219"/>
      <c r="H97" s="197" t="s">
        <v>811</v>
      </c>
      <c r="I97" s="197" t="s">
        <v>808</v>
      </c>
      <c r="J97" s="197"/>
      <c r="K97" s="209"/>
    </row>
    <row r="98" spans="2:11" s="1" customFormat="1" ht="15" customHeight="1">
      <c r="B98" s="223"/>
      <c r="C98" s="224"/>
      <c r="D98" s="224"/>
      <c r="E98" s="224"/>
      <c r="F98" s="224"/>
      <c r="G98" s="224"/>
      <c r="H98" s="224"/>
      <c r="I98" s="224"/>
      <c r="J98" s="224"/>
      <c r="K98" s="225"/>
    </row>
    <row r="99" spans="2:11" s="1" customFormat="1" ht="18.75" customHeight="1">
      <c r="B99" s="226"/>
      <c r="C99" s="227"/>
      <c r="D99" s="227"/>
      <c r="E99" s="227"/>
      <c r="F99" s="227"/>
      <c r="G99" s="227"/>
      <c r="H99" s="227"/>
      <c r="I99" s="227"/>
      <c r="J99" s="227"/>
      <c r="K99" s="226"/>
    </row>
    <row r="100" spans="2:11" s="1" customFormat="1" ht="18.75" customHeight="1">
      <c r="B100" s="204"/>
      <c r="C100" s="204"/>
      <c r="D100" s="204"/>
      <c r="E100" s="204"/>
      <c r="F100" s="204"/>
      <c r="G100" s="204"/>
      <c r="H100" s="204"/>
      <c r="I100" s="204"/>
      <c r="J100" s="204"/>
      <c r="K100" s="204"/>
    </row>
    <row r="101" spans="2:11" s="1" customFormat="1" ht="7.5" customHeight="1">
      <c r="B101" s="205"/>
      <c r="C101" s="206"/>
      <c r="D101" s="206"/>
      <c r="E101" s="206"/>
      <c r="F101" s="206"/>
      <c r="G101" s="206"/>
      <c r="H101" s="206"/>
      <c r="I101" s="206"/>
      <c r="J101" s="206"/>
      <c r="K101" s="207"/>
    </row>
    <row r="102" spans="2:11" s="1" customFormat="1" ht="45" customHeight="1">
      <c r="B102" s="208"/>
      <c r="C102" s="357" t="s">
        <v>812</v>
      </c>
      <c r="D102" s="357"/>
      <c r="E102" s="357"/>
      <c r="F102" s="357"/>
      <c r="G102" s="357"/>
      <c r="H102" s="357"/>
      <c r="I102" s="357"/>
      <c r="J102" s="357"/>
      <c r="K102" s="209"/>
    </row>
    <row r="103" spans="2:11" s="1" customFormat="1" ht="17.25" customHeight="1">
      <c r="B103" s="208"/>
      <c r="C103" s="210" t="s">
        <v>767</v>
      </c>
      <c r="D103" s="210"/>
      <c r="E103" s="210"/>
      <c r="F103" s="210" t="s">
        <v>768</v>
      </c>
      <c r="G103" s="211"/>
      <c r="H103" s="210" t="s">
        <v>54</v>
      </c>
      <c r="I103" s="210" t="s">
        <v>57</v>
      </c>
      <c r="J103" s="210" t="s">
        <v>769</v>
      </c>
      <c r="K103" s="209"/>
    </row>
    <row r="104" spans="2:11" s="1" customFormat="1" ht="17.25" customHeight="1">
      <c r="B104" s="208"/>
      <c r="C104" s="212" t="s">
        <v>770</v>
      </c>
      <c r="D104" s="212"/>
      <c r="E104" s="212"/>
      <c r="F104" s="213" t="s">
        <v>771</v>
      </c>
      <c r="G104" s="214"/>
      <c r="H104" s="212"/>
      <c r="I104" s="212"/>
      <c r="J104" s="212" t="s">
        <v>772</v>
      </c>
      <c r="K104" s="209"/>
    </row>
    <row r="105" spans="2:11" s="1" customFormat="1" ht="5.25" customHeight="1">
      <c r="B105" s="208"/>
      <c r="C105" s="210"/>
      <c r="D105" s="210"/>
      <c r="E105" s="210"/>
      <c r="F105" s="210"/>
      <c r="G105" s="228"/>
      <c r="H105" s="210"/>
      <c r="I105" s="210"/>
      <c r="J105" s="210"/>
      <c r="K105" s="209"/>
    </row>
    <row r="106" spans="2:11" s="1" customFormat="1" ht="15" customHeight="1">
      <c r="B106" s="208"/>
      <c r="C106" s="197" t="s">
        <v>53</v>
      </c>
      <c r="D106" s="217"/>
      <c r="E106" s="217"/>
      <c r="F106" s="218" t="s">
        <v>773</v>
      </c>
      <c r="G106" s="197"/>
      <c r="H106" s="197" t="s">
        <v>813</v>
      </c>
      <c r="I106" s="197" t="s">
        <v>775</v>
      </c>
      <c r="J106" s="197">
        <v>20</v>
      </c>
      <c r="K106" s="209"/>
    </row>
    <row r="107" spans="2:11" s="1" customFormat="1" ht="15" customHeight="1">
      <c r="B107" s="208"/>
      <c r="C107" s="197" t="s">
        <v>776</v>
      </c>
      <c r="D107" s="197"/>
      <c r="E107" s="197"/>
      <c r="F107" s="218" t="s">
        <v>773</v>
      </c>
      <c r="G107" s="197"/>
      <c r="H107" s="197" t="s">
        <v>813</v>
      </c>
      <c r="I107" s="197" t="s">
        <v>775</v>
      </c>
      <c r="J107" s="197">
        <v>120</v>
      </c>
      <c r="K107" s="209"/>
    </row>
    <row r="108" spans="2:11" s="1" customFormat="1" ht="15" customHeight="1">
      <c r="B108" s="220"/>
      <c r="C108" s="197" t="s">
        <v>778</v>
      </c>
      <c r="D108" s="197"/>
      <c r="E108" s="197"/>
      <c r="F108" s="218" t="s">
        <v>779</v>
      </c>
      <c r="G108" s="197"/>
      <c r="H108" s="197" t="s">
        <v>813</v>
      </c>
      <c r="I108" s="197" t="s">
        <v>775</v>
      </c>
      <c r="J108" s="197">
        <v>50</v>
      </c>
      <c r="K108" s="209"/>
    </row>
    <row r="109" spans="2:11" s="1" customFormat="1" ht="15" customHeight="1">
      <c r="B109" s="220"/>
      <c r="C109" s="197" t="s">
        <v>781</v>
      </c>
      <c r="D109" s="197"/>
      <c r="E109" s="197"/>
      <c r="F109" s="218" t="s">
        <v>773</v>
      </c>
      <c r="G109" s="197"/>
      <c r="H109" s="197" t="s">
        <v>813</v>
      </c>
      <c r="I109" s="197" t="s">
        <v>783</v>
      </c>
      <c r="J109" s="197"/>
      <c r="K109" s="209"/>
    </row>
    <row r="110" spans="2:11" s="1" customFormat="1" ht="15" customHeight="1">
      <c r="B110" s="220"/>
      <c r="C110" s="197" t="s">
        <v>792</v>
      </c>
      <c r="D110" s="197"/>
      <c r="E110" s="197"/>
      <c r="F110" s="218" t="s">
        <v>779</v>
      </c>
      <c r="G110" s="197"/>
      <c r="H110" s="197" t="s">
        <v>813</v>
      </c>
      <c r="I110" s="197" t="s">
        <v>775</v>
      </c>
      <c r="J110" s="197">
        <v>50</v>
      </c>
      <c r="K110" s="209"/>
    </row>
    <row r="111" spans="2:11" s="1" customFormat="1" ht="15" customHeight="1">
      <c r="B111" s="220"/>
      <c r="C111" s="197" t="s">
        <v>800</v>
      </c>
      <c r="D111" s="197"/>
      <c r="E111" s="197"/>
      <c r="F111" s="218" t="s">
        <v>779</v>
      </c>
      <c r="G111" s="197"/>
      <c r="H111" s="197" t="s">
        <v>813</v>
      </c>
      <c r="I111" s="197" t="s">
        <v>775</v>
      </c>
      <c r="J111" s="197">
        <v>50</v>
      </c>
      <c r="K111" s="209"/>
    </row>
    <row r="112" spans="2:11" s="1" customFormat="1" ht="15" customHeight="1">
      <c r="B112" s="220"/>
      <c r="C112" s="197" t="s">
        <v>798</v>
      </c>
      <c r="D112" s="197"/>
      <c r="E112" s="197"/>
      <c r="F112" s="218" t="s">
        <v>779</v>
      </c>
      <c r="G112" s="197"/>
      <c r="H112" s="197" t="s">
        <v>813</v>
      </c>
      <c r="I112" s="197" t="s">
        <v>775</v>
      </c>
      <c r="J112" s="197">
        <v>50</v>
      </c>
      <c r="K112" s="209"/>
    </row>
    <row r="113" spans="2:11" s="1" customFormat="1" ht="15" customHeight="1">
      <c r="B113" s="220"/>
      <c r="C113" s="197" t="s">
        <v>53</v>
      </c>
      <c r="D113" s="197"/>
      <c r="E113" s="197"/>
      <c r="F113" s="218" t="s">
        <v>773</v>
      </c>
      <c r="G113" s="197"/>
      <c r="H113" s="197" t="s">
        <v>814</v>
      </c>
      <c r="I113" s="197" t="s">
        <v>775</v>
      </c>
      <c r="J113" s="197">
        <v>20</v>
      </c>
      <c r="K113" s="209"/>
    </row>
    <row r="114" spans="2:11" s="1" customFormat="1" ht="15" customHeight="1">
      <c r="B114" s="220"/>
      <c r="C114" s="197" t="s">
        <v>815</v>
      </c>
      <c r="D114" s="197"/>
      <c r="E114" s="197"/>
      <c r="F114" s="218" t="s">
        <v>773</v>
      </c>
      <c r="G114" s="197"/>
      <c r="H114" s="197" t="s">
        <v>816</v>
      </c>
      <c r="I114" s="197" t="s">
        <v>775</v>
      </c>
      <c r="J114" s="197">
        <v>120</v>
      </c>
      <c r="K114" s="209"/>
    </row>
    <row r="115" spans="2:11" s="1" customFormat="1" ht="15" customHeight="1">
      <c r="B115" s="220"/>
      <c r="C115" s="197" t="s">
        <v>38</v>
      </c>
      <c r="D115" s="197"/>
      <c r="E115" s="197"/>
      <c r="F115" s="218" t="s">
        <v>773</v>
      </c>
      <c r="G115" s="197"/>
      <c r="H115" s="197" t="s">
        <v>817</v>
      </c>
      <c r="I115" s="197" t="s">
        <v>808</v>
      </c>
      <c r="J115" s="197"/>
      <c r="K115" s="209"/>
    </row>
    <row r="116" spans="2:11" s="1" customFormat="1" ht="15" customHeight="1">
      <c r="B116" s="220"/>
      <c r="C116" s="197" t="s">
        <v>48</v>
      </c>
      <c r="D116" s="197"/>
      <c r="E116" s="197"/>
      <c r="F116" s="218" t="s">
        <v>773</v>
      </c>
      <c r="G116" s="197"/>
      <c r="H116" s="197" t="s">
        <v>818</v>
      </c>
      <c r="I116" s="197" t="s">
        <v>808</v>
      </c>
      <c r="J116" s="197"/>
      <c r="K116" s="209"/>
    </row>
    <row r="117" spans="2:11" s="1" customFormat="1" ht="15" customHeight="1">
      <c r="B117" s="220"/>
      <c r="C117" s="197" t="s">
        <v>57</v>
      </c>
      <c r="D117" s="197"/>
      <c r="E117" s="197"/>
      <c r="F117" s="218" t="s">
        <v>773</v>
      </c>
      <c r="G117" s="197"/>
      <c r="H117" s="197" t="s">
        <v>819</v>
      </c>
      <c r="I117" s="197" t="s">
        <v>820</v>
      </c>
      <c r="J117" s="197"/>
      <c r="K117" s="209"/>
    </row>
    <row r="118" spans="2:11" s="1" customFormat="1" ht="15" customHeight="1">
      <c r="B118" s="223"/>
      <c r="C118" s="229"/>
      <c r="D118" s="229"/>
      <c r="E118" s="229"/>
      <c r="F118" s="229"/>
      <c r="G118" s="229"/>
      <c r="H118" s="229"/>
      <c r="I118" s="229"/>
      <c r="J118" s="229"/>
      <c r="K118" s="225"/>
    </row>
    <row r="119" spans="2:11" s="1" customFormat="1" ht="18.75" customHeight="1">
      <c r="B119" s="230"/>
      <c r="C119" s="231"/>
      <c r="D119" s="231"/>
      <c r="E119" s="231"/>
      <c r="F119" s="232"/>
      <c r="G119" s="231"/>
      <c r="H119" s="231"/>
      <c r="I119" s="231"/>
      <c r="J119" s="231"/>
      <c r="K119" s="230"/>
    </row>
    <row r="120" spans="2:11" s="1" customFormat="1" ht="18.75" customHeight="1">
      <c r="B120" s="204"/>
      <c r="C120" s="204"/>
      <c r="D120" s="204"/>
      <c r="E120" s="204"/>
      <c r="F120" s="204"/>
      <c r="G120" s="204"/>
      <c r="H120" s="204"/>
      <c r="I120" s="204"/>
      <c r="J120" s="204"/>
      <c r="K120" s="204"/>
    </row>
    <row r="121" spans="2:11" s="1" customFormat="1" ht="7.5" customHeight="1">
      <c r="B121" s="233"/>
      <c r="C121" s="234"/>
      <c r="D121" s="234"/>
      <c r="E121" s="234"/>
      <c r="F121" s="234"/>
      <c r="G121" s="234"/>
      <c r="H121" s="234"/>
      <c r="I121" s="234"/>
      <c r="J121" s="234"/>
      <c r="K121" s="235"/>
    </row>
    <row r="122" spans="2:11" s="1" customFormat="1" ht="45" customHeight="1">
      <c r="B122" s="236"/>
      <c r="C122" s="355" t="s">
        <v>821</v>
      </c>
      <c r="D122" s="355"/>
      <c r="E122" s="355"/>
      <c r="F122" s="355"/>
      <c r="G122" s="355"/>
      <c r="H122" s="355"/>
      <c r="I122" s="355"/>
      <c r="J122" s="355"/>
      <c r="K122" s="237"/>
    </row>
    <row r="123" spans="2:11" s="1" customFormat="1" ht="17.25" customHeight="1">
      <c r="B123" s="238"/>
      <c r="C123" s="210" t="s">
        <v>767</v>
      </c>
      <c r="D123" s="210"/>
      <c r="E123" s="210"/>
      <c r="F123" s="210" t="s">
        <v>768</v>
      </c>
      <c r="G123" s="211"/>
      <c r="H123" s="210" t="s">
        <v>54</v>
      </c>
      <c r="I123" s="210" t="s">
        <v>57</v>
      </c>
      <c r="J123" s="210" t="s">
        <v>769</v>
      </c>
      <c r="K123" s="239"/>
    </row>
    <row r="124" spans="2:11" s="1" customFormat="1" ht="17.25" customHeight="1">
      <c r="B124" s="238"/>
      <c r="C124" s="212" t="s">
        <v>770</v>
      </c>
      <c r="D124" s="212"/>
      <c r="E124" s="212"/>
      <c r="F124" s="213" t="s">
        <v>771</v>
      </c>
      <c r="G124" s="214"/>
      <c r="H124" s="212"/>
      <c r="I124" s="212"/>
      <c r="J124" s="212" t="s">
        <v>772</v>
      </c>
      <c r="K124" s="239"/>
    </row>
    <row r="125" spans="2:11" s="1" customFormat="1" ht="5.25" customHeight="1">
      <c r="B125" s="240"/>
      <c r="C125" s="215"/>
      <c r="D125" s="215"/>
      <c r="E125" s="215"/>
      <c r="F125" s="215"/>
      <c r="G125" s="241"/>
      <c r="H125" s="215"/>
      <c r="I125" s="215"/>
      <c r="J125" s="215"/>
      <c r="K125" s="242"/>
    </row>
    <row r="126" spans="2:11" s="1" customFormat="1" ht="15" customHeight="1">
      <c r="B126" s="240"/>
      <c r="C126" s="197" t="s">
        <v>776</v>
      </c>
      <c r="D126" s="217"/>
      <c r="E126" s="217"/>
      <c r="F126" s="218" t="s">
        <v>773</v>
      </c>
      <c r="G126" s="197"/>
      <c r="H126" s="197" t="s">
        <v>813</v>
      </c>
      <c r="I126" s="197" t="s">
        <v>775</v>
      </c>
      <c r="J126" s="197">
        <v>120</v>
      </c>
      <c r="K126" s="243"/>
    </row>
    <row r="127" spans="2:11" s="1" customFormat="1" ht="15" customHeight="1">
      <c r="B127" s="240"/>
      <c r="C127" s="197" t="s">
        <v>822</v>
      </c>
      <c r="D127" s="197"/>
      <c r="E127" s="197"/>
      <c r="F127" s="218" t="s">
        <v>773</v>
      </c>
      <c r="G127" s="197"/>
      <c r="H127" s="197" t="s">
        <v>823</v>
      </c>
      <c r="I127" s="197" t="s">
        <v>775</v>
      </c>
      <c r="J127" s="197" t="s">
        <v>824</v>
      </c>
      <c r="K127" s="243"/>
    </row>
    <row r="128" spans="2:11" s="1" customFormat="1" ht="15" customHeight="1">
      <c r="B128" s="240"/>
      <c r="C128" s="197" t="s">
        <v>721</v>
      </c>
      <c r="D128" s="197"/>
      <c r="E128" s="197"/>
      <c r="F128" s="218" t="s">
        <v>773</v>
      </c>
      <c r="G128" s="197"/>
      <c r="H128" s="197" t="s">
        <v>825</v>
      </c>
      <c r="I128" s="197" t="s">
        <v>775</v>
      </c>
      <c r="J128" s="197" t="s">
        <v>824</v>
      </c>
      <c r="K128" s="243"/>
    </row>
    <row r="129" spans="2:11" s="1" customFormat="1" ht="15" customHeight="1">
      <c r="B129" s="240"/>
      <c r="C129" s="197" t="s">
        <v>784</v>
      </c>
      <c r="D129" s="197"/>
      <c r="E129" s="197"/>
      <c r="F129" s="218" t="s">
        <v>779</v>
      </c>
      <c r="G129" s="197"/>
      <c r="H129" s="197" t="s">
        <v>785</v>
      </c>
      <c r="I129" s="197" t="s">
        <v>775</v>
      </c>
      <c r="J129" s="197">
        <v>15</v>
      </c>
      <c r="K129" s="243"/>
    </row>
    <row r="130" spans="2:11" s="1" customFormat="1" ht="15" customHeight="1">
      <c r="B130" s="240"/>
      <c r="C130" s="221" t="s">
        <v>786</v>
      </c>
      <c r="D130" s="221"/>
      <c r="E130" s="221"/>
      <c r="F130" s="222" t="s">
        <v>779</v>
      </c>
      <c r="G130" s="221"/>
      <c r="H130" s="221" t="s">
        <v>787</v>
      </c>
      <c r="I130" s="221" t="s">
        <v>775</v>
      </c>
      <c r="J130" s="221">
        <v>15</v>
      </c>
      <c r="K130" s="243"/>
    </row>
    <row r="131" spans="2:11" s="1" customFormat="1" ht="15" customHeight="1">
      <c r="B131" s="240"/>
      <c r="C131" s="221" t="s">
        <v>788</v>
      </c>
      <c r="D131" s="221"/>
      <c r="E131" s="221"/>
      <c r="F131" s="222" t="s">
        <v>779</v>
      </c>
      <c r="G131" s="221"/>
      <c r="H131" s="221" t="s">
        <v>789</v>
      </c>
      <c r="I131" s="221" t="s">
        <v>775</v>
      </c>
      <c r="J131" s="221">
        <v>20</v>
      </c>
      <c r="K131" s="243"/>
    </row>
    <row r="132" spans="2:11" s="1" customFormat="1" ht="15" customHeight="1">
      <c r="B132" s="240"/>
      <c r="C132" s="221" t="s">
        <v>790</v>
      </c>
      <c r="D132" s="221"/>
      <c r="E132" s="221"/>
      <c r="F132" s="222" t="s">
        <v>779</v>
      </c>
      <c r="G132" s="221"/>
      <c r="H132" s="221" t="s">
        <v>791</v>
      </c>
      <c r="I132" s="221" t="s">
        <v>775</v>
      </c>
      <c r="J132" s="221">
        <v>20</v>
      </c>
      <c r="K132" s="243"/>
    </row>
    <row r="133" spans="2:11" s="1" customFormat="1" ht="15" customHeight="1">
      <c r="B133" s="240"/>
      <c r="C133" s="197" t="s">
        <v>778</v>
      </c>
      <c r="D133" s="197"/>
      <c r="E133" s="197"/>
      <c r="F133" s="218" t="s">
        <v>779</v>
      </c>
      <c r="G133" s="197"/>
      <c r="H133" s="197" t="s">
        <v>813</v>
      </c>
      <c r="I133" s="197" t="s">
        <v>775</v>
      </c>
      <c r="J133" s="197">
        <v>50</v>
      </c>
      <c r="K133" s="243"/>
    </row>
    <row r="134" spans="2:11" s="1" customFormat="1" ht="15" customHeight="1">
      <c r="B134" s="240"/>
      <c r="C134" s="197" t="s">
        <v>792</v>
      </c>
      <c r="D134" s="197"/>
      <c r="E134" s="197"/>
      <c r="F134" s="218" t="s">
        <v>779</v>
      </c>
      <c r="G134" s="197"/>
      <c r="H134" s="197" t="s">
        <v>813</v>
      </c>
      <c r="I134" s="197" t="s">
        <v>775</v>
      </c>
      <c r="J134" s="197">
        <v>50</v>
      </c>
      <c r="K134" s="243"/>
    </row>
    <row r="135" spans="2:11" s="1" customFormat="1" ht="15" customHeight="1">
      <c r="B135" s="240"/>
      <c r="C135" s="197" t="s">
        <v>798</v>
      </c>
      <c r="D135" s="197"/>
      <c r="E135" s="197"/>
      <c r="F135" s="218" t="s">
        <v>779</v>
      </c>
      <c r="G135" s="197"/>
      <c r="H135" s="197" t="s">
        <v>813</v>
      </c>
      <c r="I135" s="197" t="s">
        <v>775</v>
      </c>
      <c r="J135" s="197">
        <v>50</v>
      </c>
      <c r="K135" s="243"/>
    </row>
    <row r="136" spans="2:11" s="1" customFormat="1" ht="15" customHeight="1">
      <c r="B136" s="240"/>
      <c r="C136" s="197" t="s">
        <v>800</v>
      </c>
      <c r="D136" s="197"/>
      <c r="E136" s="197"/>
      <c r="F136" s="218" t="s">
        <v>779</v>
      </c>
      <c r="G136" s="197"/>
      <c r="H136" s="197" t="s">
        <v>813</v>
      </c>
      <c r="I136" s="197" t="s">
        <v>775</v>
      </c>
      <c r="J136" s="197">
        <v>50</v>
      </c>
      <c r="K136" s="243"/>
    </row>
    <row r="137" spans="2:11" s="1" customFormat="1" ht="15" customHeight="1">
      <c r="B137" s="240"/>
      <c r="C137" s="197" t="s">
        <v>801</v>
      </c>
      <c r="D137" s="197"/>
      <c r="E137" s="197"/>
      <c r="F137" s="218" t="s">
        <v>779</v>
      </c>
      <c r="G137" s="197"/>
      <c r="H137" s="197" t="s">
        <v>826</v>
      </c>
      <c r="I137" s="197" t="s">
        <v>775</v>
      </c>
      <c r="J137" s="197">
        <v>255</v>
      </c>
      <c r="K137" s="243"/>
    </row>
    <row r="138" spans="2:11" s="1" customFormat="1" ht="15" customHeight="1">
      <c r="B138" s="240"/>
      <c r="C138" s="197" t="s">
        <v>803</v>
      </c>
      <c r="D138" s="197"/>
      <c r="E138" s="197"/>
      <c r="F138" s="218" t="s">
        <v>773</v>
      </c>
      <c r="G138" s="197"/>
      <c r="H138" s="197" t="s">
        <v>827</v>
      </c>
      <c r="I138" s="197" t="s">
        <v>805</v>
      </c>
      <c r="J138" s="197"/>
      <c r="K138" s="243"/>
    </row>
    <row r="139" spans="2:11" s="1" customFormat="1" ht="15" customHeight="1">
      <c r="B139" s="240"/>
      <c r="C139" s="197" t="s">
        <v>806</v>
      </c>
      <c r="D139" s="197"/>
      <c r="E139" s="197"/>
      <c r="F139" s="218" t="s">
        <v>773</v>
      </c>
      <c r="G139" s="197"/>
      <c r="H139" s="197" t="s">
        <v>828</v>
      </c>
      <c r="I139" s="197" t="s">
        <v>808</v>
      </c>
      <c r="J139" s="197"/>
      <c r="K139" s="243"/>
    </row>
    <row r="140" spans="2:11" s="1" customFormat="1" ht="15" customHeight="1">
      <c r="B140" s="240"/>
      <c r="C140" s="197" t="s">
        <v>809</v>
      </c>
      <c r="D140" s="197"/>
      <c r="E140" s="197"/>
      <c r="F140" s="218" t="s">
        <v>773</v>
      </c>
      <c r="G140" s="197"/>
      <c r="H140" s="197" t="s">
        <v>809</v>
      </c>
      <c r="I140" s="197" t="s">
        <v>808</v>
      </c>
      <c r="J140" s="197"/>
      <c r="K140" s="243"/>
    </row>
    <row r="141" spans="2:11" s="1" customFormat="1" ht="15" customHeight="1">
      <c r="B141" s="240"/>
      <c r="C141" s="197" t="s">
        <v>38</v>
      </c>
      <c r="D141" s="197"/>
      <c r="E141" s="197"/>
      <c r="F141" s="218" t="s">
        <v>773</v>
      </c>
      <c r="G141" s="197"/>
      <c r="H141" s="197" t="s">
        <v>829</v>
      </c>
      <c r="I141" s="197" t="s">
        <v>808</v>
      </c>
      <c r="J141" s="197"/>
      <c r="K141" s="243"/>
    </row>
    <row r="142" spans="2:11" s="1" customFormat="1" ht="15" customHeight="1">
      <c r="B142" s="240"/>
      <c r="C142" s="197" t="s">
        <v>830</v>
      </c>
      <c r="D142" s="197"/>
      <c r="E142" s="197"/>
      <c r="F142" s="218" t="s">
        <v>773</v>
      </c>
      <c r="G142" s="197"/>
      <c r="H142" s="197" t="s">
        <v>831</v>
      </c>
      <c r="I142" s="197" t="s">
        <v>808</v>
      </c>
      <c r="J142" s="197"/>
      <c r="K142" s="243"/>
    </row>
    <row r="143" spans="2:11" s="1" customFormat="1" ht="15" customHeight="1">
      <c r="B143" s="244"/>
      <c r="C143" s="245"/>
      <c r="D143" s="245"/>
      <c r="E143" s="245"/>
      <c r="F143" s="245"/>
      <c r="G143" s="245"/>
      <c r="H143" s="245"/>
      <c r="I143" s="245"/>
      <c r="J143" s="245"/>
      <c r="K143" s="246"/>
    </row>
    <row r="144" spans="2:11" s="1" customFormat="1" ht="18.75" customHeight="1">
      <c r="B144" s="231"/>
      <c r="C144" s="231"/>
      <c r="D144" s="231"/>
      <c r="E144" s="231"/>
      <c r="F144" s="232"/>
      <c r="G144" s="231"/>
      <c r="H144" s="231"/>
      <c r="I144" s="231"/>
      <c r="J144" s="231"/>
      <c r="K144" s="231"/>
    </row>
    <row r="145" spans="2:11" s="1" customFormat="1" ht="18.75" customHeight="1">
      <c r="B145" s="204"/>
      <c r="C145" s="204"/>
      <c r="D145" s="204"/>
      <c r="E145" s="204"/>
      <c r="F145" s="204"/>
      <c r="G145" s="204"/>
      <c r="H145" s="204"/>
      <c r="I145" s="204"/>
      <c r="J145" s="204"/>
      <c r="K145" s="204"/>
    </row>
    <row r="146" spans="2:11" s="1" customFormat="1" ht="7.5" customHeight="1">
      <c r="B146" s="205"/>
      <c r="C146" s="206"/>
      <c r="D146" s="206"/>
      <c r="E146" s="206"/>
      <c r="F146" s="206"/>
      <c r="G146" s="206"/>
      <c r="H146" s="206"/>
      <c r="I146" s="206"/>
      <c r="J146" s="206"/>
      <c r="K146" s="207"/>
    </row>
    <row r="147" spans="2:11" s="1" customFormat="1" ht="45" customHeight="1">
      <c r="B147" s="208"/>
      <c r="C147" s="357" t="s">
        <v>832</v>
      </c>
      <c r="D147" s="357"/>
      <c r="E147" s="357"/>
      <c r="F147" s="357"/>
      <c r="G147" s="357"/>
      <c r="H147" s="357"/>
      <c r="I147" s="357"/>
      <c r="J147" s="357"/>
      <c r="K147" s="209"/>
    </row>
    <row r="148" spans="2:11" s="1" customFormat="1" ht="17.25" customHeight="1">
      <c r="B148" s="208"/>
      <c r="C148" s="210" t="s">
        <v>767</v>
      </c>
      <c r="D148" s="210"/>
      <c r="E148" s="210"/>
      <c r="F148" s="210" t="s">
        <v>768</v>
      </c>
      <c r="G148" s="211"/>
      <c r="H148" s="210" t="s">
        <v>54</v>
      </c>
      <c r="I148" s="210" t="s">
        <v>57</v>
      </c>
      <c r="J148" s="210" t="s">
        <v>769</v>
      </c>
      <c r="K148" s="209"/>
    </row>
    <row r="149" spans="2:11" s="1" customFormat="1" ht="17.25" customHeight="1">
      <c r="B149" s="208"/>
      <c r="C149" s="212" t="s">
        <v>770</v>
      </c>
      <c r="D149" s="212"/>
      <c r="E149" s="212"/>
      <c r="F149" s="213" t="s">
        <v>771</v>
      </c>
      <c r="G149" s="214"/>
      <c r="H149" s="212"/>
      <c r="I149" s="212"/>
      <c r="J149" s="212" t="s">
        <v>772</v>
      </c>
      <c r="K149" s="209"/>
    </row>
    <row r="150" spans="2:11" s="1" customFormat="1" ht="5.25" customHeight="1">
      <c r="B150" s="220"/>
      <c r="C150" s="215"/>
      <c r="D150" s="215"/>
      <c r="E150" s="215"/>
      <c r="F150" s="215"/>
      <c r="G150" s="216"/>
      <c r="H150" s="215"/>
      <c r="I150" s="215"/>
      <c r="J150" s="215"/>
      <c r="K150" s="243"/>
    </row>
    <row r="151" spans="2:11" s="1" customFormat="1" ht="15" customHeight="1">
      <c r="B151" s="220"/>
      <c r="C151" s="247" t="s">
        <v>776</v>
      </c>
      <c r="D151" s="197"/>
      <c r="E151" s="197"/>
      <c r="F151" s="248" t="s">
        <v>773</v>
      </c>
      <c r="G151" s="197"/>
      <c r="H151" s="247" t="s">
        <v>813</v>
      </c>
      <c r="I151" s="247" t="s">
        <v>775</v>
      </c>
      <c r="J151" s="247">
        <v>120</v>
      </c>
      <c r="K151" s="243"/>
    </row>
    <row r="152" spans="2:11" s="1" customFormat="1" ht="15" customHeight="1">
      <c r="B152" s="220"/>
      <c r="C152" s="247" t="s">
        <v>822</v>
      </c>
      <c r="D152" s="197"/>
      <c r="E152" s="197"/>
      <c r="F152" s="248" t="s">
        <v>773</v>
      </c>
      <c r="G152" s="197"/>
      <c r="H152" s="247" t="s">
        <v>833</v>
      </c>
      <c r="I152" s="247" t="s">
        <v>775</v>
      </c>
      <c r="J152" s="247" t="s">
        <v>824</v>
      </c>
      <c r="K152" s="243"/>
    </row>
    <row r="153" spans="2:11" s="1" customFormat="1" ht="15" customHeight="1">
      <c r="B153" s="220"/>
      <c r="C153" s="247" t="s">
        <v>721</v>
      </c>
      <c r="D153" s="197"/>
      <c r="E153" s="197"/>
      <c r="F153" s="248" t="s">
        <v>773</v>
      </c>
      <c r="G153" s="197"/>
      <c r="H153" s="247" t="s">
        <v>834</v>
      </c>
      <c r="I153" s="247" t="s">
        <v>775</v>
      </c>
      <c r="J153" s="247" t="s">
        <v>824</v>
      </c>
      <c r="K153" s="243"/>
    </row>
    <row r="154" spans="2:11" s="1" customFormat="1" ht="15" customHeight="1">
      <c r="B154" s="220"/>
      <c r="C154" s="247" t="s">
        <v>778</v>
      </c>
      <c r="D154" s="197"/>
      <c r="E154" s="197"/>
      <c r="F154" s="248" t="s">
        <v>779</v>
      </c>
      <c r="G154" s="197"/>
      <c r="H154" s="247" t="s">
        <v>813</v>
      </c>
      <c r="I154" s="247" t="s">
        <v>775</v>
      </c>
      <c r="J154" s="247">
        <v>50</v>
      </c>
      <c r="K154" s="243"/>
    </row>
    <row r="155" spans="2:11" s="1" customFormat="1" ht="15" customHeight="1">
      <c r="B155" s="220"/>
      <c r="C155" s="247" t="s">
        <v>781</v>
      </c>
      <c r="D155" s="197"/>
      <c r="E155" s="197"/>
      <c r="F155" s="248" t="s">
        <v>773</v>
      </c>
      <c r="G155" s="197"/>
      <c r="H155" s="247" t="s">
        <v>813</v>
      </c>
      <c r="I155" s="247" t="s">
        <v>783</v>
      </c>
      <c r="J155" s="247"/>
      <c r="K155" s="243"/>
    </row>
    <row r="156" spans="2:11" s="1" customFormat="1" ht="15" customHeight="1">
      <c r="B156" s="220"/>
      <c r="C156" s="247" t="s">
        <v>792</v>
      </c>
      <c r="D156" s="197"/>
      <c r="E156" s="197"/>
      <c r="F156" s="248" t="s">
        <v>779</v>
      </c>
      <c r="G156" s="197"/>
      <c r="H156" s="247" t="s">
        <v>813</v>
      </c>
      <c r="I156" s="247" t="s">
        <v>775</v>
      </c>
      <c r="J156" s="247">
        <v>50</v>
      </c>
      <c r="K156" s="243"/>
    </row>
    <row r="157" spans="2:11" s="1" customFormat="1" ht="15" customHeight="1">
      <c r="B157" s="220"/>
      <c r="C157" s="247" t="s">
        <v>800</v>
      </c>
      <c r="D157" s="197"/>
      <c r="E157" s="197"/>
      <c r="F157" s="248" t="s">
        <v>779</v>
      </c>
      <c r="G157" s="197"/>
      <c r="H157" s="247" t="s">
        <v>813</v>
      </c>
      <c r="I157" s="247" t="s">
        <v>775</v>
      </c>
      <c r="J157" s="247">
        <v>50</v>
      </c>
      <c r="K157" s="243"/>
    </row>
    <row r="158" spans="2:11" s="1" customFormat="1" ht="15" customHeight="1">
      <c r="B158" s="220"/>
      <c r="C158" s="247" t="s">
        <v>798</v>
      </c>
      <c r="D158" s="197"/>
      <c r="E158" s="197"/>
      <c r="F158" s="248" t="s">
        <v>779</v>
      </c>
      <c r="G158" s="197"/>
      <c r="H158" s="247" t="s">
        <v>813</v>
      </c>
      <c r="I158" s="247" t="s">
        <v>775</v>
      </c>
      <c r="J158" s="247">
        <v>50</v>
      </c>
      <c r="K158" s="243"/>
    </row>
    <row r="159" spans="2:11" s="1" customFormat="1" ht="15" customHeight="1">
      <c r="B159" s="220"/>
      <c r="C159" s="247" t="s">
        <v>102</v>
      </c>
      <c r="D159" s="197"/>
      <c r="E159" s="197"/>
      <c r="F159" s="248" t="s">
        <v>773</v>
      </c>
      <c r="G159" s="197"/>
      <c r="H159" s="247" t="s">
        <v>835</v>
      </c>
      <c r="I159" s="247" t="s">
        <v>775</v>
      </c>
      <c r="J159" s="247" t="s">
        <v>836</v>
      </c>
      <c r="K159" s="243"/>
    </row>
    <row r="160" spans="2:11" s="1" customFormat="1" ht="15" customHeight="1">
      <c r="B160" s="220"/>
      <c r="C160" s="247" t="s">
        <v>837</v>
      </c>
      <c r="D160" s="197"/>
      <c r="E160" s="197"/>
      <c r="F160" s="248" t="s">
        <v>773</v>
      </c>
      <c r="G160" s="197"/>
      <c r="H160" s="247" t="s">
        <v>838</v>
      </c>
      <c r="I160" s="247" t="s">
        <v>808</v>
      </c>
      <c r="J160" s="247"/>
      <c r="K160" s="243"/>
    </row>
    <row r="161" spans="2:11" s="1" customFormat="1" ht="15" customHeight="1">
      <c r="B161" s="249"/>
      <c r="C161" s="229"/>
      <c r="D161" s="229"/>
      <c r="E161" s="229"/>
      <c r="F161" s="229"/>
      <c r="G161" s="229"/>
      <c r="H161" s="229"/>
      <c r="I161" s="229"/>
      <c r="J161" s="229"/>
      <c r="K161" s="250"/>
    </row>
    <row r="162" spans="2:11" s="1" customFormat="1" ht="18.75" customHeight="1">
      <c r="B162" s="231"/>
      <c r="C162" s="241"/>
      <c r="D162" s="241"/>
      <c r="E162" s="241"/>
      <c r="F162" s="251"/>
      <c r="G162" s="241"/>
      <c r="H162" s="241"/>
      <c r="I162" s="241"/>
      <c r="J162" s="241"/>
      <c r="K162" s="231"/>
    </row>
    <row r="163" spans="2:11" s="1" customFormat="1" ht="18.75" customHeight="1">
      <c r="B163" s="204"/>
      <c r="C163" s="204"/>
      <c r="D163" s="204"/>
      <c r="E163" s="204"/>
      <c r="F163" s="204"/>
      <c r="G163" s="204"/>
      <c r="H163" s="204"/>
      <c r="I163" s="204"/>
      <c r="J163" s="204"/>
      <c r="K163" s="204"/>
    </row>
    <row r="164" spans="2:11" s="1" customFormat="1" ht="7.5" customHeight="1">
      <c r="B164" s="186"/>
      <c r="C164" s="187"/>
      <c r="D164" s="187"/>
      <c r="E164" s="187"/>
      <c r="F164" s="187"/>
      <c r="G164" s="187"/>
      <c r="H164" s="187"/>
      <c r="I164" s="187"/>
      <c r="J164" s="187"/>
      <c r="K164" s="188"/>
    </row>
    <row r="165" spans="2:11" s="1" customFormat="1" ht="45" customHeight="1">
      <c r="B165" s="189"/>
      <c r="C165" s="355" t="s">
        <v>839</v>
      </c>
      <c r="D165" s="355"/>
      <c r="E165" s="355"/>
      <c r="F165" s="355"/>
      <c r="G165" s="355"/>
      <c r="H165" s="355"/>
      <c r="I165" s="355"/>
      <c r="J165" s="355"/>
      <c r="K165" s="190"/>
    </row>
    <row r="166" spans="2:11" s="1" customFormat="1" ht="17.25" customHeight="1">
      <c r="B166" s="189"/>
      <c r="C166" s="210" t="s">
        <v>767</v>
      </c>
      <c r="D166" s="210"/>
      <c r="E166" s="210"/>
      <c r="F166" s="210" t="s">
        <v>768</v>
      </c>
      <c r="G166" s="252"/>
      <c r="H166" s="253" t="s">
        <v>54</v>
      </c>
      <c r="I166" s="253" t="s">
        <v>57</v>
      </c>
      <c r="J166" s="210" t="s">
        <v>769</v>
      </c>
      <c r="K166" s="190"/>
    </row>
    <row r="167" spans="2:11" s="1" customFormat="1" ht="17.25" customHeight="1">
      <c r="B167" s="191"/>
      <c r="C167" s="212" t="s">
        <v>770</v>
      </c>
      <c r="D167" s="212"/>
      <c r="E167" s="212"/>
      <c r="F167" s="213" t="s">
        <v>771</v>
      </c>
      <c r="G167" s="254"/>
      <c r="H167" s="255"/>
      <c r="I167" s="255"/>
      <c r="J167" s="212" t="s">
        <v>772</v>
      </c>
      <c r="K167" s="192"/>
    </row>
    <row r="168" spans="2:11" s="1" customFormat="1" ht="5.25" customHeight="1">
      <c r="B168" s="220"/>
      <c r="C168" s="215"/>
      <c r="D168" s="215"/>
      <c r="E168" s="215"/>
      <c r="F168" s="215"/>
      <c r="G168" s="216"/>
      <c r="H168" s="215"/>
      <c r="I168" s="215"/>
      <c r="J168" s="215"/>
      <c r="K168" s="243"/>
    </row>
    <row r="169" spans="2:11" s="1" customFormat="1" ht="15" customHeight="1">
      <c r="B169" s="220"/>
      <c r="C169" s="197" t="s">
        <v>776</v>
      </c>
      <c r="D169" s="197"/>
      <c r="E169" s="197"/>
      <c r="F169" s="218" t="s">
        <v>773</v>
      </c>
      <c r="G169" s="197"/>
      <c r="H169" s="197" t="s">
        <v>813</v>
      </c>
      <c r="I169" s="197" t="s">
        <v>775</v>
      </c>
      <c r="J169" s="197">
        <v>120</v>
      </c>
      <c r="K169" s="243"/>
    </row>
    <row r="170" spans="2:11" s="1" customFormat="1" ht="15" customHeight="1">
      <c r="B170" s="220"/>
      <c r="C170" s="197" t="s">
        <v>822</v>
      </c>
      <c r="D170" s="197"/>
      <c r="E170" s="197"/>
      <c r="F170" s="218" t="s">
        <v>773</v>
      </c>
      <c r="G170" s="197"/>
      <c r="H170" s="197" t="s">
        <v>823</v>
      </c>
      <c r="I170" s="197" t="s">
        <v>775</v>
      </c>
      <c r="J170" s="197" t="s">
        <v>824</v>
      </c>
      <c r="K170" s="243"/>
    </row>
    <row r="171" spans="2:11" s="1" customFormat="1" ht="15" customHeight="1">
      <c r="B171" s="220"/>
      <c r="C171" s="197" t="s">
        <v>721</v>
      </c>
      <c r="D171" s="197"/>
      <c r="E171" s="197"/>
      <c r="F171" s="218" t="s">
        <v>773</v>
      </c>
      <c r="G171" s="197"/>
      <c r="H171" s="197" t="s">
        <v>840</v>
      </c>
      <c r="I171" s="197" t="s">
        <v>775</v>
      </c>
      <c r="J171" s="197" t="s">
        <v>824</v>
      </c>
      <c r="K171" s="243"/>
    </row>
    <row r="172" spans="2:11" s="1" customFormat="1" ht="15" customHeight="1">
      <c r="B172" s="220"/>
      <c r="C172" s="197" t="s">
        <v>778</v>
      </c>
      <c r="D172" s="197"/>
      <c r="E172" s="197"/>
      <c r="F172" s="218" t="s">
        <v>779</v>
      </c>
      <c r="G172" s="197"/>
      <c r="H172" s="197" t="s">
        <v>840</v>
      </c>
      <c r="I172" s="197" t="s">
        <v>775</v>
      </c>
      <c r="J172" s="197">
        <v>50</v>
      </c>
      <c r="K172" s="243"/>
    </row>
    <row r="173" spans="2:11" s="1" customFormat="1" ht="15" customHeight="1">
      <c r="B173" s="220"/>
      <c r="C173" s="197" t="s">
        <v>781</v>
      </c>
      <c r="D173" s="197"/>
      <c r="E173" s="197"/>
      <c r="F173" s="218" t="s">
        <v>773</v>
      </c>
      <c r="G173" s="197"/>
      <c r="H173" s="197" t="s">
        <v>840</v>
      </c>
      <c r="I173" s="197" t="s">
        <v>783</v>
      </c>
      <c r="J173" s="197"/>
      <c r="K173" s="243"/>
    </row>
    <row r="174" spans="2:11" s="1" customFormat="1" ht="15" customHeight="1">
      <c r="B174" s="220"/>
      <c r="C174" s="197" t="s">
        <v>792</v>
      </c>
      <c r="D174" s="197"/>
      <c r="E174" s="197"/>
      <c r="F174" s="218" t="s">
        <v>779</v>
      </c>
      <c r="G174" s="197"/>
      <c r="H174" s="197" t="s">
        <v>840</v>
      </c>
      <c r="I174" s="197" t="s">
        <v>775</v>
      </c>
      <c r="J174" s="197">
        <v>50</v>
      </c>
      <c r="K174" s="243"/>
    </row>
    <row r="175" spans="2:11" s="1" customFormat="1" ht="15" customHeight="1">
      <c r="B175" s="220"/>
      <c r="C175" s="197" t="s">
        <v>800</v>
      </c>
      <c r="D175" s="197"/>
      <c r="E175" s="197"/>
      <c r="F175" s="218" t="s">
        <v>779</v>
      </c>
      <c r="G175" s="197"/>
      <c r="H175" s="197" t="s">
        <v>840</v>
      </c>
      <c r="I175" s="197" t="s">
        <v>775</v>
      </c>
      <c r="J175" s="197">
        <v>50</v>
      </c>
      <c r="K175" s="243"/>
    </row>
    <row r="176" spans="2:11" s="1" customFormat="1" ht="15" customHeight="1">
      <c r="B176" s="220"/>
      <c r="C176" s="197" t="s">
        <v>798</v>
      </c>
      <c r="D176" s="197"/>
      <c r="E176" s="197"/>
      <c r="F176" s="218" t="s">
        <v>779</v>
      </c>
      <c r="G176" s="197"/>
      <c r="H176" s="197" t="s">
        <v>840</v>
      </c>
      <c r="I176" s="197" t="s">
        <v>775</v>
      </c>
      <c r="J176" s="197">
        <v>50</v>
      </c>
      <c r="K176" s="243"/>
    </row>
    <row r="177" spans="2:11" s="1" customFormat="1" ht="15" customHeight="1">
      <c r="B177" s="220"/>
      <c r="C177" s="197" t="s">
        <v>119</v>
      </c>
      <c r="D177" s="197"/>
      <c r="E177" s="197"/>
      <c r="F177" s="218" t="s">
        <v>773</v>
      </c>
      <c r="G177" s="197"/>
      <c r="H177" s="197" t="s">
        <v>841</v>
      </c>
      <c r="I177" s="197" t="s">
        <v>842</v>
      </c>
      <c r="J177" s="197"/>
      <c r="K177" s="243"/>
    </row>
    <row r="178" spans="2:11" s="1" customFormat="1" ht="15" customHeight="1">
      <c r="B178" s="220"/>
      <c r="C178" s="197" t="s">
        <v>57</v>
      </c>
      <c r="D178" s="197"/>
      <c r="E178" s="197"/>
      <c r="F178" s="218" t="s">
        <v>773</v>
      </c>
      <c r="G178" s="197"/>
      <c r="H178" s="197" t="s">
        <v>843</v>
      </c>
      <c r="I178" s="197" t="s">
        <v>844</v>
      </c>
      <c r="J178" s="197">
        <v>1</v>
      </c>
      <c r="K178" s="243"/>
    </row>
    <row r="179" spans="2:11" s="1" customFormat="1" ht="15" customHeight="1">
      <c r="B179" s="220"/>
      <c r="C179" s="197" t="s">
        <v>53</v>
      </c>
      <c r="D179" s="197"/>
      <c r="E179" s="197"/>
      <c r="F179" s="218" t="s">
        <v>773</v>
      </c>
      <c r="G179" s="197"/>
      <c r="H179" s="197" t="s">
        <v>845</v>
      </c>
      <c r="I179" s="197" t="s">
        <v>775</v>
      </c>
      <c r="J179" s="197">
        <v>20</v>
      </c>
      <c r="K179" s="243"/>
    </row>
    <row r="180" spans="2:11" s="1" customFormat="1" ht="15" customHeight="1">
      <c r="B180" s="220"/>
      <c r="C180" s="197" t="s">
        <v>54</v>
      </c>
      <c r="D180" s="197"/>
      <c r="E180" s="197"/>
      <c r="F180" s="218" t="s">
        <v>773</v>
      </c>
      <c r="G180" s="197"/>
      <c r="H180" s="197" t="s">
        <v>846</v>
      </c>
      <c r="I180" s="197" t="s">
        <v>775</v>
      </c>
      <c r="J180" s="197">
        <v>255</v>
      </c>
      <c r="K180" s="243"/>
    </row>
    <row r="181" spans="2:11" s="1" customFormat="1" ht="15" customHeight="1">
      <c r="B181" s="220"/>
      <c r="C181" s="197" t="s">
        <v>120</v>
      </c>
      <c r="D181" s="197"/>
      <c r="E181" s="197"/>
      <c r="F181" s="218" t="s">
        <v>773</v>
      </c>
      <c r="G181" s="197"/>
      <c r="H181" s="197" t="s">
        <v>737</v>
      </c>
      <c r="I181" s="197" t="s">
        <v>775</v>
      </c>
      <c r="J181" s="197">
        <v>10</v>
      </c>
      <c r="K181" s="243"/>
    </row>
    <row r="182" spans="2:11" s="1" customFormat="1" ht="15" customHeight="1">
      <c r="B182" s="220"/>
      <c r="C182" s="197" t="s">
        <v>121</v>
      </c>
      <c r="D182" s="197"/>
      <c r="E182" s="197"/>
      <c r="F182" s="218" t="s">
        <v>773</v>
      </c>
      <c r="G182" s="197"/>
      <c r="H182" s="197" t="s">
        <v>847</v>
      </c>
      <c r="I182" s="197" t="s">
        <v>808</v>
      </c>
      <c r="J182" s="197"/>
      <c r="K182" s="243"/>
    </row>
    <row r="183" spans="2:11" s="1" customFormat="1" ht="15" customHeight="1">
      <c r="B183" s="220"/>
      <c r="C183" s="197" t="s">
        <v>848</v>
      </c>
      <c r="D183" s="197"/>
      <c r="E183" s="197"/>
      <c r="F183" s="218" t="s">
        <v>773</v>
      </c>
      <c r="G183" s="197"/>
      <c r="H183" s="197" t="s">
        <v>849</v>
      </c>
      <c r="I183" s="197" t="s">
        <v>808</v>
      </c>
      <c r="J183" s="197"/>
      <c r="K183" s="243"/>
    </row>
    <row r="184" spans="2:11" s="1" customFormat="1" ht="15" customHeight="1">
      <c r="B184" s="220"/>
      <c r="C184" s="197" t="s">
        <v>837</v>
      </c>
      <c r="D184" s="197"/>
      <c r="E184" s="197"/>
      <c r="F184" s="218" t="s">
        <v>773</v>
      </c>
      <c r="G184" s="197"/>
      <c r="H184" s="197" t="s">
        <v>850</v>
      </c>
      <c r="I184" s="197" t="s">
        <v>808</v>
      </c>
      <c r="J184" s="197"/>
      <c r="K184" s="243"/>
    </row>
    <row r="185" spans="2:11" s="1" customFormat="1" ht="15" customHeight="1">
      <c r="B185" s="220"/>
      <c r="C185" s="197" t="s">
        <v>123</v>
      </c>
      <c r="D185" s="197"/>
      <c r="E185" s="197"/>
      <c r="F185" s="218" t="s">
        <v>779</v>
      </c>
      <c r="G185" s="197"/>
      <c r="H185" s="197" t="s">
        <v>851</v>
      </c>
      <c r="I185" s="197" t="s">
        <v>775</v>
      </c>
      <c r="J185" s="197">
        <v>50</v>
      </c>
      <c r="K185" s="243"/>
    </row>
    <row r="186" spans="2:11" s="1" customFormat="1" ht="15" customHeight="1">
      <c r="B186" s="220"/>
      <c r="C186" s="197" t="s">
        <v>852</v>
      </c>
      <c r="D186" s="197"/>
      <c r="E186" s="197"/>
      <c r="F186" s="218" t="s">
        <v>779</v>
      </c>
      <c r="G186" s="197"/>
      <c r="H186" s="197" t="s">
        <v>853</v>
      </c>
      <c r="I186" s="197" t="s">
        <v>854</v>
      </c>
      <c r="J186" s="197"/>
      <c r="K186" s="243"/>
    </row>
    <row r="187" spans="2:11" s="1" customFormat="1" ht="15" customHeight="1">
      <c r="B187" s="220"/>
      <c r="C187" s="197" t="s">
        <v>855</v>
      </c>
      <c r="D187" s="197"/>
      <c r="E187" s="197"/>
      <c r="F187" s="218" t="s">
        <v>779</v>
      </c>
      <c r="G187" s="197"/>
      <c r="H187" s="197" t="s">
        <v>856</v>
      </c>
      <c r="I187" s="197" t="s">
        <v>854</v>
      </c>
      <c r="J187" s="197"/>
      <c r="K187" s="243"/>
    </row>
    <row r="188" spans="2:11" s="1" customFormat="1" ht="15" customHeight="1">
      <c r="B188" s="220"/>
      <c r="C188" s="197" t="s">
        <v>857</v>
      </c>
      <c r="D188" s="197"/>
      <c r="E188" s="197"/>
      <c r="F188" s="218" t="s">
        <v>779</v>
      </c>
      <c r="G188" s="197"/>
      <c r="H188" s="197" t="s">
        <v>858</v>
      </c>
      <c r="I188" s="197" t="s">
        <v>854</v>
      </c>
      <c r="J188" s="197"/>
      <c r="K188" s="243"/>
    </row>
    <row r="189" spans="2:11" s="1" customFormat="1" ht="15" customHeight="1">
      <c r="B189" s="220"/>
      <c r="C189" s="256" t="s">
        <v>859</v>
      </c>
      <c r="D189" s="197"/>
      <c r="E189" s="197"/>
      <c r="F189" s="218" t="s">
        <v>779</v>
      </c>
      <c r="G189" s="197"/>
      <c r="H189" s="197" t="s">
        <v>860</v>
      </c>
      <c r="I189" s="197" t="s">
        <v>861</v>
      </c>
      <c r="J189" s="257" t="s">
        <v>862</v>
      </c>
      <c r="K189" s="243"/>
    </row>
    <row r="190" spans="2:11" s="1" customFormat="1" ht="15" customHeight="1">
      <c r="B190" s="220"/>
      <c r="C190" s="256" t="s">
        <v>42</v>
      </c>
      <c r="D190" s="197"/>
      <c r="E190" s="197"/>
      <c r="F190" s="218" t="s">
        <v>773</v>
      </c>
      <c r="G190" s="197"/>
      <c r="H190" s="194" t="s">
        <v>863</v>
      </c>
      <c r="I190" s="197" t="s">
        <v>864</v>
      </c>
      <c r="J190" s="197"/>
      <c r="K190" s="243"/>
    </row>
    <row r="191" spans="2:11" s="1" customFormat="1" ht="15" customHeight="1">
      <c r="B191" s="220"/>
      <c r="C191" s="256" t="s">
        <v>865</v>
      </c>
      <c r="D191" s="197"/>
      <c r="E191" s="197"/>
      <c r="F191" s="218" t="s">
        <v>773</v>
      </c>
      <c r="G191" s="197"/>
      <c r="H191" s="197" t="s">
        <v>866</v>
      </c>
      <c r="I191" s="197" t="s">
        <v>808</v>
      </c>
      <c r="J191" s="197"/>
      <c r="K191" s="243"/>
    </row>
    <row r="192" spans="2:11" s="1" customFormat="1" ht="15" customHeight="1">
      <c r="B192" s="220"/>
      <c r="C192" s="256" t="s">
        <v>867</v>
      </c>
      <c r="D192" s="197"/>
      <c r="E192" s="197"/>
      <c r="F192" s="218" t="s">
        <v>773</v>
      </c>
      <c r="G192" s="197"/>
      <c r="H192" s="197" t="s">
        <v>868</v>
      </c>
      <c r="I192" s="197" t="s">
        <v>808</v>
      </c>
      <c r="J192" s="197"/>
      <c r="K192" s="243"/>
    </row>
    <row r="193" spans="2:11" s="1" customFormat="1" ht="15" customHeight="1">
      <c r="B193" s="220"/>
      <c r="C193" s="256" t="s">
        <v>869</v>
      </c>
      <c r="D193" s="197"/>
      <c r="E193" s="197"/>
      <c r="F193" s="218" t="s">
        <v>779</v>
      </c>
      <c r="G193" s="197"/>
      <c r="H193" s="197" t="s">
        <v>870</v>
      </c>
      <c r="I193" s="197" t="s">
        <v>808</v>
      </c>
      <c r="J193" s="197"/>
      <c r="K193" s="243"/>
    </row>
    <row r="194" spans="2:11" s="1" customFormat="1" ht="15" customHeight="1">
      <c r="B194" s="249"/>
      <c r="C194" s="258"/>
      <c r="D194" s="229"/>
      <c r="E194" s="229"/>
      <c r="F194" s="229"/>
      <c r="G194" s="229"/>
      <c r="H194" s="229"/>
      <c r="I194" s="229"/>
      <c r="J194" s="229"/>
      <c r="K194" s="250"/>
    </row>
    <row r="195" spans="2:11" s="1" customFormat="1" ht="18.75" customHeight="1">
      <c r="B195" s="231"/>
      <c r="C195" s="241"/>
      <c r="D195" s="241"/>
      <c r="E195" s="241"/>
      <c r="F195" s="251"/>
      <c r="G195" s="241"/>
      <c r="H195" s="241"/>
      <c r="I195" s="241"/>
      <c r="J195" s="241"/>
      <c r="K195" s="231"/>
    </row>
    <row r="196" spans="2:11" s="1" customFormat="1" ht="18.75" customHeight="1">
      <c r="B196" s="231"/>
      <c r="C196" s="241"/>
      <c r="D196" s="241"/>
      <c r="E196" s="241"/>
      <c r="F196" s="251"/>
      <c r="G196" s="241"/>
      <c r="H196" s="241"/>
      <c r="I196" s="241"/>
      <c r="J196" s="241"/>
      <c r="K196" s="231"/>
    </row>
    <row r="197" spans="2:11" s="1" customFormat="1" ht="18.75" customHeight="1">
      <c r="B197" s="204"/>
      <c r="C197" s="204"/>
      <c r="D197" s="204"/>
      <c r="E197" s="204"/>
      <c r="F197" s="204"/>
      <c r="G197" s="204"/>
      <c r="H197" s="204"/>
      <c r="I197" s="204"/>
      <c r="J197" s="204"/>
      <c r="K197" s="204"/>
    </row>
    <row r="198" spans="2:11" s="1" customFormat="1" ht="13.5">
      <c r="B198" s="186"/>
      <c r="C198" s="187"/>
      <c r="D198" s="187"/>
      <c r="E198" s="187"/>
      <c r="F198" s="187"/>
      <c r="G198" s="187"/>
      <c r="H198" s="187"/>
      <c r="I198" s="187"/>
      <c r="J198" s="187"/>
      <c r="K198" s="188"/>
    </row>
    <row r="199" spans="2:11" s="1" customFormat="1" ht="21">
      <c r="B199" s="189"/>
      <c r="C199" s="355" t="s">
        <v>871</v>
      </c>
      <c r="D199" s="355"/>
      <c r="E199" s="355"/>
      <c r="F199" s="355"/>
      <c r="G199" s="355"/>
      <c r="H199" s="355"/>
      <c r="I199" s="355"/>
      <c r="J199" s="355"/>
      <c r="K199" s="190"/>
    </row>
    <row r="200" spans="2:11" s="1" customFormat="1" ht="25.5" customHeight="1">
      <c r="B200" s="189"/>
      <c r="C200" s="259" t="s">
        <v>872</v>
      </c>
      <c r="D200" s="259"/>
      <c r="E200" s="259"/>
      <c r="F200" s="259" t="s">
        <v>873</v>
      </c>
      <c r="G200" s="260"/>
      <c r="H200" s="361" t="s">
        <v>874</v>
      </c>
      <c r="I200" s="361"/>
      <c r="J200" s="361"/>
      <c r="K200" s="190"/>
    </row>
    <row r="201" spans="2:11" s="1" customFormat="1" ht="5.25" customHeight="1">
      <c r="B201" s="220"/>
      <c r="C201" s="215"/>
      <c r="D201" s="215"/>
      <c r="E201" s="215"/>
      <c r="F201" s="215"/>
      <c r="G201" s="241"/>
      <c r="H201" s="215"/>
      <c r="I201" s="215"/>
      <c r="J201" s="215"/>
      <c r="K201" s="243"/>
    </row>
    <row r="202" spans="2:11" s="1" customFormat="1" ht="15" customHeight="1">
      <c r="B202" s="220"/>
      <c r="C202" s="197" t="s">
        <v>864</v>
      </c>
      <c r="D202" s="197"/>
      <c r="E202" s="197"/>
      <c r="F202" s="218" t="s">
        <v>43</v>
      </c>
      <c r="G202" s="197"/>
      <c r="H202" s="360" t="s">
        <v>875</v>
      </c>
      <c r="I202" s="360"/>
      <c r="J202" s="360"/>
      <c r="K202" s="243"/>
    </row>
    <row r="203" spans="2:11" s="1" customFormat="1" ht="15" customHeight="1">
      <c r="B203" s="220"/>
      <c r="C203" s="197"/>
      <c r="D203" s="197"/>
      <c r="E203" s="197"/>
      <c r="F203" s="218" t="s">
        <v>44</v>
      </c>
      <c r="G203" s="197"/>
      <c r="H203" s="360" t="s">
        <v>876</v>
      </c>
      <c r="I203" s="360"/>
      <c r="J203" s="360"/>
      <c r="K203" s="243"/>
    </row>
    <row r="204" spans="2:11" s="1" customFormat="1" ht="15" customHeight="1">
      <c r="B204" s="220"/>
      <c r="C204" s="197"/>
      <c r="D204" s="197"/>
      <c r="E204" s="197"/>
      <c r="F204" s="218" t="s">
        <v>47</v>
      </c>
      <c r="G204" s="197"/>
      <c r="H204" s="360" t="s">
        <v>877</v>
      </c>
      <c r="I204" s="360"/>
      <c r="J204" s="360"/>
      <c r="K204" s="243"/>
    </row>
    <row r="205" spans="2:11" s="1" customFormat="1" ht="15" customHeight="1">
      <c r="B205" s="220"/>
      <c r="C205" s="197"/>
      <c r="D205" s="197"/>
      <c r="E205" s="197"/>
      <c r="F205" s="218" t="s">
        <v>45</v>
      </c>
      <c r="G205" s="197"/>
      <c r="H205" s="360" t="s">
        <v>878</v>
      </c>
      <c r="I205" s="360"/>
      <c r="J205" s="360"/>
      <c r="K205" s="243"/>
    </row>
    <row r="206" spans="2:11" s="1" customFormat="1" ht="15" customHeight="1">
      <c r="B206" s="220"/>
      <c r="C206" s="197"/>
      <c r="D206" s="197"/>
      <c r="E206" s="197"/>
      <c r="F206" s="218" t="s">
        <v>46</v>
      </c>
      <c r="G206" s="197"/>
      <c r="H206" s="360" t="s">
        <v>879</v>
      </c>
      <c r="I206" s="360"/>
      <c r="J206" s="360"/>
      <c r="K206" s="243"/>
    </row>
    <row r="207" spans="2:11" s="1" customFormat="1" ht="15" customHeight="1">
      <c r="B207" s="220"/>
      <c r="C207" s="197"/>
      <c r="D207" s="197"/>
      <c r="E207" s="197"/>
      <c r="F207" s="218"/>
      <c r="G207" s="197"/>
      <c r="H207" s="197"/>
      <c r="I207" s="197"/>
      <c r="J207" s="197"/>
      <c r="K207" s="243"/>
    </row>
    <row r="208" spans="2:11" s="1" customFormat="1" ht="15" customHeight="1">
      <c r="B208" s="220"/>
      <c r="C208" s="197" t="s">
        <v>820</v>
      </c>
      <c r="D208" s="197"/>
      <c r="E208" s="197"/>
      <c r="F208" s="218" t="s">
        <v>79</v>
      </c>
      <c r="G208" s="197"/>
      <c r="H208" s="360" t="s">
        <v>880</v>
      </c>
      <c r="I208" s="360"/>
      <c r="J208" s="360"/>
      <c r="K208" s="243"/>
    </row>
    <row r="209" spans="2:11" s="1" customFormat="1" ht="15" customHeight="1">
      <c r="B209" s="220"/>
      <c r="C209" s="197"/>
      <c r="D209" s="197"/>
      <c r="E209" s="197"/>
      <c r="F209" s="218" t="s">
        <v>715</v>
      </c>
      <c r="G209" s="197"/>
      <c r="H209" s="360" t="s">
        <v>716</v>
      </c>
      <c r="I209" s="360"/>
      <c r="J209" s="360"/>
      <c r="K209" s="243"/>
    </row>
    <row r="210" spans="2:11" s="1" customFormat="1" ht="15" customHeight="1">
      <c r="B210" s="220"/>
      <c r="C210" s="197"/>
      <c r="D210" s="197"/>
      <c r="E210" s="197"/>
      <c r="F210" s="218" t="s">
        <v>713</v>
      </c>
      <c r="G210" s="197"/>
      <c r="H210" s="360" t="s">
        <v>881</v>
      </c>
      <c r="I210" s="360"/>
      <c r="J210" s="360"/>
      <c r="K210" s="243"/>
    </row>
    <row r="211" spans="2:11" s="1" customFormat="1" ht="15" customHeight="1">
      <c r="B211" s="261"/>
      <c r="C211" s="197"/>
      <c r="D211" s="197"/>
      <c r="E211" s="197"/>
      <c r="F211" s="218" t="s">
        <v>717</v>
      </c>
      <c r="G211" s="256"/>
      <c r="H211" s="359" t="s">
        <v>718</v>
      </c>
      <c r="I211" s="359"/>
      <c r="J211" s="359"/>
      <c r="K211" s="262"/>
    </row>
    <row r="212" spans="2:11" s="1" customFormat="1" ht="15" customHeight="1">
      <c r="B212" s="261"/>
      <c r="C212" s="197"/>
      <c r="D212" s="197"/>
      <c r="E212" s="197"/>
      <c r="F212" s="218" t="s">
        <v>719</v>
      </c>
      <c r="G212" s="256"/>
      <c r="H212" s="359" t="s">
        <v>882</v>
      </c>
      <c r="I212" s="359"/>
      <c r="J212" s="359"/>
      <c r="K212" s="262"/>
    </row>
    <row r="213" spans="2:11" s="1" customFormat="1" ht="15" customHeight="1">
      <c r="B213" s="261"/>
      <c r="C213" s="197"/>
      <c r="D213" s="197"/>
      <c r="E213" s="197"/>
      <c r="F213" s="218"/>
      <c r="G213" s="256"/>
      <c r="H213" s="247"/>
      <c r="I213" s="247"/>
      <c r="J213" s="247"/>
      <c r="K213" s="262"/>
    </row>
    <row r="214" spans="2:11" s="1" customFormat="1" ht="15" customHeight="1">
      <c r="B214" s="261"/>
      <c r="C214" s="197" t="s">
        <v>844</v>
      </c>
      <c r="D214" s="197"/>
      <c r="E214" s="197"/>
      <c r="F214" s="218">
        <v>1</v>
      </c>
      <c r="G214" s="256"/>
      <c r="H214" s="359" t="s">
        <v>883</v>
      </c>
      <c r="I214" s="359"/>
      <c r="J214" s="359"/>
      <c r="K214" s="262"/>
    </row>
    <row r="215" spans="2:11" s="1" customFormat="1" ht="15" customHeight="1">
      <c r="B215" s="261"/>
      <c r="C215" s="197"/>
      <c r="D215" s="197"/>
      <c r="E215" s="197"/>
      <c r="F215" s="218">
        <v>2</v>
      </c>
      <c r="G215" s="256"/>
      <c r="H215" s="359" t="s">
        <v>884</v>
      </c>
      <c r="I215" s="359"/>
      <c r="J215" s="359"/>
      <c r="K215" s="262"/>
    </row>
    <row r="216" spans="2:11" s="1" customFormat="1" ht="15" customHeight="1">
      <c r="B216" s="261"/>
      <c r="C216" s="197"/>
      <c r="D216" s="197"/>
      <c r="E216" s="197"/>
      <c r="F216" s="218">
        <v>3</v>
      </c>
      <c r="G216" s="256"/>
      <c r="H216" s="359" t="s">
        <v>885</v>
      </c>
      <c r="I216" s="359"/>
      <c r="J216" s="359"/>
      <c r="K216" s="262"/>
    </row>
    <row r="217" spans="2:11" s="1" customFormat="1" ht="15" customHeight="1">
      <c r="B217" s="261"/>
      <c r="C217" s="197"/>
      <c r="D217" s="197"/>
      <c r="E217" s="197"/>
      <c r="F217" s="218">
        <v>4</v>
      </c>
      <c r="G217" s="256"/>
      <c r="H217" s="359" t="s">
        <v>886</v>
      </c>
      <c r="I217" s="359"/>
      <c r="J217" s="359"/>
      <c r="K217" s="262"/>
    </row>
    <row r="218" spans="2:11" s="1" customFormat="1" ht="12.75" customHeight="1">
      <c r="B218" s="263"/>
      <c r="C218" s="264"/>
      <c r="D218" s="264"/>
      <c r="E218" s="264"/>
      <c r="F218" s="264"/>
      <c r="G218" s="264"/>
      <c r="H218" s="264"/>
      <c r="I218" s="264"/>
      <c r="J218" s="264"/>
      <c r="K218" s="2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Pavel</cp:lastModifiedBy>
  <cp:lastPrinted>2020-11-17T11:08:37Z</cp:lastPrinted>
  <dcterms:created xsi:type="dcterms:W3CDTF">2020-09-13T17:52:14Z</dcterms:created>
  <dcterms:modified xsi:type="dcterms:W3CDTF">2020-11-19T14:08:32Z</dcterms:modified>
  <cp:category/>
  <cp:version/>
  <cp:contentType/>
  <cp:contentStatus/>
</cp:coreProperties>
</file>