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/>
  <bookViews>
    <workbookView xWindow="65416" yWindow="65416" windowWidth="29040" windowHeight="15840" tabRatio="745" firstSheet="5" activeTab="10"/>
  </bookViews>
  <sheets>
    <sheet name="Rekapitulace stavby" sheetId="1" r:id="rId1"/>
    <sheet name="01 Chodba" sheetId="7" r:id="rId2"/>
    <sheet name="02 Novorozenci" sheetId="9" r:id="rId3"/>
    <sheet name="03 Denni místnost" sheetId="10" r:id="rId4"/>
    <sheet name="04 Sprchy, 05 Čistící místnos, " sheetId="11" r:id="rId5"/>
    <sheet name="koupelny pokoje" sheetId="16" r:id="rId6"/>
    <sheet name="10 Porodni Boxy" sheetId="17" r:id="rId7"/>
    <sheet name="Sesterna a vyšetřovna" sheetId="19" r:id="rId8"/>
    <sheet name="Pokoje" sheetId="20" r:id="rId9"/>
    <sheet name="Rozvodna UPS 4NP" sheetId="30" r:id="rId10"/>
    <sheet name="Vedlejší a ostatn..." sheetId="4" r:id="rId11"/>
  </sheets>
  <externalReferences>
    <externalReference r:id="rId14"/>
  </externalReferences>
  <definedNames>
    <definedName name="_xlnm._FilterDatabase" localSheetId="1" hidden="1">'01 Chodba'!$C$81:$K$199</definedName>
    <definedName name="_xlnm._FilterDatabase" localSheetId="10" hidden="1">'Vedlejší a ostatn...'!$C$116:$K$125</definedName>
    <definedName name="cisloobjektu" localSheetId="1">#REF!</definedName>
    <definedName name="cisloobjektu" localSheetId="2">#REF!</definedName>
    <definedName name="cisloobjektu" localSheetId="3">#REF!</definedName>
    <definedName name="cisloobjektu" localSheetId="4">#REF!</definedName>
    <definedName name="cisloobjektu" localSheetId="6">#REF!</definedName>
    <definedName name="cisloobjektu" localSheetId="5">#REF!</definedName>
    <definedName name="cisloobjektu" localSheetId="8">#REF!</definedName>
    <definedName name="cisloobjektu" localSheetId="7">#REF!</definedName>
    <definedName name="cisloobjektu">#REF!</definedName>
    <definedName name="cislostavby" localSheetId="1">#REF!</definedName>
    <definedName name="cislostavby" localSheetId="2">#REF!</definedName>
    <definedName name="cislostavby" localSheetId="3">#REF!</definedName>
    <definedName name="cislostavby" localSheetId="4">#REF!</definedName>
    <definedName name="cislostavby" localSheetId="6">#REF!</definedName>
    <definedName name="cislostavby" localSheetId="5">#REF!</definedName>
    <definedName name="cislostavby" localSheetId="8">#REF!</definedName>
    <definedName name="cislostavby" localSheetId="7">#REF!</definedName>
    <definedName name="cislostavby">#REF!</definedName>
    <definedName name="Datum" localSheetId="1">#REF!</definedName>
    <definedName name="Datum" localSheetId="2">#REF!</definedName>
    <definedName name="Datum" localSheetId="3">#REF!</definedName>
    <definedName name="Datum" localSheetId="4">#REF!</definedName>
    <definedName name="Datum" localSheetId="6">#REF!</definedName>
    <definedName name="Datum" localSheetId="5">#REF!</definedName>
    <definedName name="Datum" localSheetId="8">#REF!</definedName>
    <definedName name="Datum" localSheetId="7">#REF!</definedName>
    <definedName name="Datum">#REF!</definedName>
    <definedName name="Dodavka" localSheetId="1">#REF!</definedName>
    <definedName name="Dodavka" localSheetId="2">#REF!</definedName>
    <definedName name="Dodavka" localSheetId="3">#REF!</definedName>
    <definedName name="Dodavka" localSheetId="4">#REF!</definedName>
    <definedName name="Dodavka" localSheetId="6">#REF!</definedName>
    <definedName name="Dodavka" localSheetId="5">#REF!</definedName>
    <definedName name="Dodavka" localSheetId="8">#REF!</definedName>
    <definedName name="Dodavka" localSheetId="7">#REF!</definedName>
    <definedName name="Dodavka">#REF!</definedName>
    <definedName name="Dodavka0" localSheetId="1">#REF!</definedName>
    <definedName name="Dodavka0" localSheetId="2">#REF!</definedName>
    <definedName name="Dodavka0" localSheetId="3">#REF!</definedName>
    <definedName name="Dodavka0" localSheetId="4">#REF!</definedName>
    <definedName name="Dodavka0" localSheetId="6">#REF!</definedName>
    <definedName name="Dodavka0" localSheetId="5">#REF!</definedName>
    <definedName name="Dodavka0" localSheetId="8">#REF!</definedName>
    <definedName name="Dodavka0" localSheetId="7">#REF!</definedName>
    <definedName name="Dodavka0">#REF!</definedName>
    <definedName name="HSV">'[1]Rekapitulace STAVEBNÍ ČÁST'!$E$17</definedName>
    <definedName name="HSV0" localSheetId="1">#REF!</definedName>
    <definedName name="HSV0" localSheetId="2">#REF!</definedName>
    <definedName name="HSV0" localSheetId="3">#REF!</definedName>
    <definedName name="HSV0" localSheetId="4">#REF!</definedName>
    <definedName name="HSV0" localSheetId="6">#REF!</definedName>
    <definedName name="HSV0" localSheetId="5">#REF!</definedName>
    <definedName name="HSV0" localSheetId="8">#REF!</definedName>
    <definedName name="HSV0" localSheetId="7">#REF!</definedName>
    <definedName name="HSV0">#REF!</definedName>
    <definedName name="HZS" localSheetId="1">#REF!</definedName>
    <definedName name="HZS" localSheetId="2">#REF!</definedName>
    <definedName name="HZS" localSheetId="3">#REF!</definedName>
    <definedName name="HZS" localSheetId="4">#REF!</definedName>
    <definedName name="HZS" localSheetId="6">#REF!</definedName>
    <definedName name="HZS" localSheetId="5">#REF!</definedName>
    <definedName name="HZS" localSheetId="8">#REF!</definedName>
    <definedName name="HZS" localSheetId="7">#REF!</definedName>
    <definedName name="HZS">#REF!</definedName>
    <definedName name="HZS0" localSheetId="1">#REF!</definedName>
    <definedName name="HZS0" localSheetId="2">#REF!</definedName>
    <definedName name="HZS0" localSheetId="3">#REF!</definedName>
    <definedName name="HZS0" localSheetId="4">#REF!</definedName>
    <definedName name="HZS0" localSheetId="6">#REF!</definedName>
    <definedName name="HZS0" localSheetId="5">#REF!</definedName>
    <definedName name="HZS0" localSheetId="8">#REF!</definedName>
    <definedName name="HZS0" localSheetId="7">#REF!</definedName>
    <definedName name="HZS0">#REF!</definedName>
    <definedName name="JKSO" localSheetId="1">#REF!</definedName>
    <definedName name="JKSO" localSheetId="2">#REF!</definedName>
    <definedName name="JKSO" localSheetId="3">#REF!</definedName>
    <definedName name="JKSO" localSheetId="4">#REF!</definedName>
    <definedName name="JKSO" localSheetId="6">#REF!</definedName>
    <definedName name="JKSO" localSheetId="5">#REF!</definedName>
    <definedName name="JKSO" localSheetId="8">#REF!</definedName>
    <definedName name="JKSO" localSheetId="7">#REF!</definedName>
    <definedName name="JKSO">#REF!</definedName>
    <definedName name="MJ" localSheetId="1">#REF!</definedName>
    <definedName name="MJ" localSheetId="2">#REF!</definedName>
    <definedName name="MJ" localSheetId="3">#REF!</definedName>
    <definedName name="MJ" localSheetId="4">#REF!</definedName>
    <definedName name="MJ" localSheetId="6">#REF!</definedName>
    <definedName name="MJ" localSheetId="5">#REF!</definedName>
    <definedName name="MJ" localSheetId="8">#REF!</definedName>
    <definedName name="MJ" localSheetId="7">#REF!</definedName>
    <definedName name="MJ">#REF!</definedName>
    <definedName name="Mont" localSheetId="1">#REF!</definedName>
    <definedName name="Mont" localSheetId="2">#REF!</definedName>
    <definedName name="Mont" localSheetId="3">#REF!</definedName>
    <definedName name="Mont" localSheetId="4">#REF!</definedName>
    <definedName name="Mont" localSheetId="6">#REF!</definedName>
    <definedName name="Mont" localSheetId="5">#REF!</definedName>
    <definedName name="Mont" localSheetId="8">#REF!</definedName>
    <definedName name="Mont" localSheetId="7">#REF!</definedName>
    <definedName name="Mont">#REF!</definedName>
    <definedName name="Montaz0" localSheetId="1">#REF!</definedName>
    <definedName name="Montaz0" localSheetId="2">#REF!</definedName>
    <definedName name="Montaz0" localSheetId="3">#REF!</definedName>
    <definedName name="Montaz0" localSheetId="4">#REF!</definedName>
    <definedName name="Montaz0" localSheetId="6">#REF!</definedName>
    <definedName name="Montaz0" localSheetId="5">#REF!</definedName>
    <definedName name="Montaz0" localSheetId="8">#REF!</definedName>
    <definedName name="Montaz0" localSheetId="7">#REF!</definedName>
    <definedName name="Montaz0">#REF!</definedName>
    <definedName name="nazevobjektu" localSheetId="1">#REF!</definedName>
    <definedName name="nazevobjektu" localSheetId="2">#REF!</definedName>
    <definedName name="nazevobjektu" localSheetId="3">#REF!</definedName>
    <definedName name="nazevobjektu" localSheetId="4">#REF!</definedName>
    <definedName name="nazevobjektu" localSheetId="6">#REF!</definedName>
    <definedName name="nazevobjektu" localSheetId="5">#REF!</definedName>
    <definedName name="nazevobjektu" localSheetId="8">#REF!</definedName>
    <definedName name="nazevobjektu" localSheetId="7">#REF!</definedName>
    <definedName name="nazevobjektu">#REF!</definedName>
    <definedName name="nazevstavby" localSheetId="1">#REF!</definedName>
    <definedName name="nazevstavby" localSheetId="2">#REF!</definedName>
    <definedName name="nazevstavby" localSheetId="3">#REF!</definedName>
    <definedName name="nazevstavby" localSheetId="4">#REF!</definedName>
    <definedName name="nazevstavby" localSheetId="6">#REF!</definedName>
    <definedName name="nazevstavby" localSheetId="5">#REF!</definedName>
    <definedName name="nazevstavby" localSheetId="8">#REF!</definedName>
    <definedName name="nazevstavby" localSheetId="7">#REF!</definedName>
    <definedName name="nazevstavby">#REF!</definedName>
    <definedName name="Objednatel" localSheetId="1">#REF!</definedName>
    <definedName name="Objednatel" localSheetId="2">#REF!</definedName>
    <definedName name="Objednatel" localSheetId="3">#REF!</definedName>
    <definedName name="Objednatel" localSheetId="4">#REF!</definedName>
    <definedName name="Objednatel" localSheetId="6">#REF!</definedName>
    <definedName name="Objednatel" localSheetId="5">#REF!</definedName>
    <definedName name="Objednatel" localSheetId="8">#REF!</definedName>
    <definedName name="Objednatel" localSheetId="7">#REF!</definedName>
    <definedName name="Objednatel">#REF!</definedName>
    <definedName name="_xlnm.Print_Area" localSheetId="1">'01 Chodba'!$C$4:$J$30,'01 Chodba'!$C$34:$J$47,'01 Chodba'!$C$69:$J$199</definedName>
    <definedName name="_xlnm.Print_Area" localSheetId="0">'Rekapitulace stavby'!$D$4:$AO$75,'Rekapitulace stavby'!$C$81:$AQ$98</definedName>
    <definedName name="_xlnm.Print_Area" localSheetId="10">'Vedlejší a ostatn...'!$B$3:$J$130</definedName>
    <definedName name="PocetMJ" localSheetId="1">#REF!</definedName>
    <definedName name="PocetMJ" localSheetId="2">#REF!</definedName>
    <definedName name="PocetMJ" localSheetId="3">#REF!</definedName>
    <definedName name="PocetMJ" localSheetId="4">#REF!</definedName>
    <definedName name="PocetMJ" localSheetId="6">#REF!</definedName>
    <definedName name="PocetMJ" localSheetId="5">#REF!</definedName>
    <definedName name="PocetMJ" localSheetId="8">#REF!</definedName>
    <definedName name="PocetMJ" localSheetId="7">#REF!</definedName>
    <definedName name="PocetMJ">#REF!</definedName>
    <definedName name="Poznamka" localSheetId="1">#REF!</definedName>
    <definedName name="Poznamka" localSheetId="2">#REF!</definedName>
    <definedName name="Poznamka" localSheetId="3">#REF!</definedName>
    <definedName name="Poznamka" localSheetId="4">#REF!</definedName>
    <definedName name="Poznamka" localSheetId="6">#REF!</definedName>
    <definedName name="Poznamka" localSheetId="5">#REF!</definedName>
    <definedName name="Poznamka" localSheetId="8">#REF!</definedName>
    <definedName name="Poznamka" localSheetId="7">#REF!</definedName>
    <definedName name="Poznamka">#REF!</definedName>
    <definedName name="Projektant" localSheetId="1">#REF!</definedName>
    <definedName name="Projektant" localSheetId="2">#REF!</definedName>
    <definedName name="Projektant" localSheetId="3">#REF!</definedName>
    <definedName name="Projektant" localSheetId="4">#REF!</definedName>
    <definedName name="Projektant" localSheetId="6">#REF!</definedName>
    <definedName name="Projektant" localSheetId="5">#REF!</definedName>
    <definedName name="Projektant" localSheetId="8">#REF!</definedName>
    <definedName name="Projektant" localSheetId="7">#REF!</definedName>
    <definedName name="Projektant">#REF!</definedName>
    <definedName name="PSV" localSheetId="1">#REF!</definedName>
    <definedName name="PSV" localSheetId="2">#REF!</definedName>
    <definedName name="PSV" localSheetId="3">#REF!</definedName>
    <definedName name="PSV" localSheetId="4">#REF!</definedName>
    <definedName name="PSV" localSheetId="6">#REF!</definedName>
    <definedName name="PSV" localSheetId="5">#REF!</definedName>
    <definedName name="PSV" localSheetId="8">#REF!</definedName>
    <definedName name="PSV" localSheetId="7">#REF!</definedName>
    <definedName name="PSV">#REF!</definedName>
    <definedName name="PSV0" localSheetId="1">#REF!</definedName>
    <definedName name="PSV0" localSheetId="2">#REF!</definedName>
    <definedName name="PSV0" localSheetId="3">#REF!</definedName>
    <definedName name="PSV0" localSheetId="4">#REF!</definedName>
    <definedName name="PSV0" localSheetId="6">#REF!</definedName>
    <definedName name="PSV0" localSheetId="5">#REF!</definedName>
    <definedName name="PSV0" localSheetId="8">#REF!</definedName>
    <definedName name="PSV0" localSheetId="7">#REF!</definedName>
    <definedName name="PSV0">#REF!</definedName>
    <definedName name="Typ" localSheetId="1">#REF!</definedName>
    <definedName name="Typ" localSheetId="2">#REF!</definedName>
    <definedName name="Typ" localSheetId="3">#REF!</definedName>
    <definedName name="Typ" localSheetId="4">#REF!</definedName>
    <definedName name="Typ" localSheetId="6">#REF!</definedName>
    <definedName name="Typ" localSheetId="5">#REF!</definedName>
    <definedName name="Typ" localSheetId="8">#REF!</definedName>
    <definedName name="Typ" localSheetId="7">#REF!</definedName>
    <definedName name="Typ">#REF!</definedName>
    <definedName name="VRN" localSheetId="1">#REF!</definedName>
    <definedName name="VRN" localSheetId="2">#REF!</definedName>
    <definedName name="VRN" localSheetId="3">#REF!</definedName>
    <definedName name="VRN" localSheetId="4">#REF!</definedName>
    <definedName name="VRN" localSheetId="6">#REF!</definedName>
    <definedName name="VRN" localSheetId="5">#REF!</definedName>
    <definedName name="VRN" localSheetId="8">#REF!</definedName>
    <definedName name="VRN" localSheetId="7">#REF!</definedName>
    <definedName name="VRN">#REF!</definedName>
    <definedName name="VRNKc" localSheetId="1">#REF!</definedName>
    <definedName name="VRNKc" localSheetId="2">#REF!</definedName>
    <definedName name="VRNKc" localSheetId="3">#REF!</definedName>
    <definedName name="VRNKc" localSheetId="4">#REF!</definedName>
    <definedName name="VRNKc" localSheetId="6">#REF!</definedName>
    <definedName name="VRNKc" localSheetId="5">#REF!</definedName>
    <definedName name="VRNKc" localSheetId="8">#REF!</definedName>
    <definedName name="VRNKc" localSheetId="7">#REF!</definedName>
    <definedName name="VRNKc">#REF!</definedName>
    <definedName name="VRNnazev" localSheetId="1">#REF!</definedName>
    <definedName name="VRNnazev" localSheetId="2">#REF!</definedName>
    <definedName name="VRNnazev" localSheetId="3">#REF!</definedName>
    <definedName name="VRNnazev" localSheetId="4">#REF!</definedName>
    <definedName name="VRNnazev" localSheetId="6">#REF!</definedName>
    <definedName name="VRNnazev" localSheetId="5">#REF!</definedName>
    <definedName name="VRNnazev" localSheetId="8">#REF!</definedName>
    <definedName name="VRNnazev" localSheetId="7">#REF!</definedName>
    <definedName name="VRNnazev">#REF!</definedName>
    <definedName name="VRNproc" localSheetId="1">#REF!</definedName>
    <definedName name="VRNproc" localSheetId="2">#REF!</definedName>
    <definedName name="VRNproc" localSheetId="3">#REF!</definedName>
    <definedName name="VRNproc" localSheetId="4">#REF!</definedName>
    <definedName name="VRNproc" localSheetId="6">#REF!</definedName>
    <definedName name="VRNproc" localSheetId="5">#REF!</definedName>
    <definedName name="VRNproc" localSheetId="8">#REF!</definedName>
    <definedName name="VRNproc" localSheetId="7">#REF!</definedName>
    <definedName name="VRNproc">#REF!</definedName>
    <definedName name="VRNzakl" localSheetId="1">#REF!</definedName>
    <definedName name="VRNzakl" localSheetId="2">#REF!</definedName>
    <definedName name="VRNzakl" localSheetId="3">#REF!</definedName>
    <definedName name="VRNzakl" localSheetId="4">#REF!</definedName>
    <definedName name="VRNzakl" localSheetId="6">#REF!</definedName>
    <definedName name="VRNzakl" localSheetId="5">#REF!</definedName>
    <definedName name="VRNzakl" localSheetId="8">#REF!</definedName>
    <definedName name="VRNzakl" localSheetId="7">#REF!</definedName>
    <definedName name="VRNzakl">#REF!</definedName>
    <definedName name="Zakazka" localSheetId="1">#REF!</definedName>
    <definedName name="Zakazka" localSheetId="2">#REF!</definedName>
    <definedName name="Zakazka" localSheetId="3">#REF!</definedName>
    <definedName name="Zakazka" localSheetId="4">#REF!</definedName>
    <definedName name="Zakazka" localSheetId="6">#REF!</definedName>
    <definedName name="Zakazka" localSheetId="5">#REF!</definedName>
    <definedName name="Zakazka" localSheetId="8">#REF!</definedName>
    <definedName name="Zakazka" localSheetId="7">#REF!</definedName>
    <definedName name="Zakazka">#REF!</definedName>
    <definedName name="Zaklad22" localSheetId="1">#REF!</definedName>
    <definedName name="Zaklad22" localSheetId="2">#REF!</definedName>
    <definedName name="Zaklad22" localSheetId="3">#REF!</definedName>
    <definedName name="Zaklad22" localSheetId="4">#REF!</definedName>
    <definedName name="Zaklad22" localSheetId="6">#REF!</definedName>
    <definedName name="Zaklad22" localSheetId="5">#REF!</definedName>
    <definedName name="Zaklad22" localSheetId="8">#REF!</definedName>
    <definedName name="Zaklad22" localSheetId="7">#REF!</definedName>
    <definedName name="Zaklad22">#REF!</definedName>
    <definedName name="Zaklad5" localSheetId="1">#REF!</definedName>
    <definedName name="Zaklad5" localSheetId="2">#REF!</definedName>
    <definedName name="Zaklad5" localSheetId="3">#REF!</definedName>
    <definedName name="Zaklad5" localSheetId="4">#REF!</definedName>
    <definedName name="Zaklad5" localSheetId="6">#REF!</definedName>
    <definedName name="Zaklad5" localSheetId="5">#REF!</definedName>
    <definedName name="Zaklad5" localSheetId="8">#REF!</definedName>
    <definedName name="Zaklad5" localSheetId="7">#REF!</definedName>
    <definedName name="Zaklad5">#REF!</definedName>
    <definedName name="Zhotovitel" localSheetId="1">#REF!</definedName>
    <definedName name="Zhotovitel" localSheetId="2">#REF!</definedName>
    <definedName name="Zhotovitel" localSheetId="3">#REF!</definedName>
    <definedName name="Zhotovitel" localSheetId="4">#REF!</definedName>
    <definedName name="Zhotovitel" localSheetId="6">#REF!</definedName>
    <definedName name="Zhotovitel" localSheetId="5">#REF!</definedName>
    <definedName name="Zhotovitel" localSheetId="8">#REF!</definedName>
    <definedName name="Zhotovitel" localSheetId="7">#REF!</definedName>
    <definedName name="Zhotovitel">#REF!</definedName>
    <definedName name="_xlnm.Print_Titles" localSheetId="0">'Rekapitulace stavby'!$91:$91</definedName>
    <definedName name="_xlnm.Print_Titles" localSheetId="1">'01 Chodba'!$81:$81</definedName>
    <definedName name="_xlnm.Print_Titles" localSheetId="10">'Vedlejší a ostatn...'!$116:$116</definedName>
  </definedNames>
  <calcPr calcId="181029"/>
</workbook>
</file>

<file path=xl/sharedStrings.xml><?xml version="1.0" encoding="utf-8"?>
<sst xmlns="http://schemas.openxmlformats.org/spreadsheetml/2006/main" count="1862" uniqueCount="316">
  <si>
    <t>Export Komplet</t>
  </si>
  <si>
    <t/>
  </si>
  <si>
    <t>2.0</t>
  </si>
  <si>
    <t>False</t>
  </si>
  <si>
    <t>{066c7d95-e1c1-432f-a81b-e41c200196fb}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</si>
  <si>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</si>
  <si>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</si>
  <si>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</si>
  <si>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</si>
  <si>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</si>
  <si>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</si>
  <si>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</si>
  <si>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</si>
  <si>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</si>
  <si>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</si>
  <si>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</si>
  <si>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</si>
  <si>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</si>
  <si>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</si>
  <si>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</si>
  <si>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</si>
  <si>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</si>
  <si>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</si>
  <si>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</si>
  <si>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Ing. Arch. Jan Ságl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</si>
  <si>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</si>
  <si>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</si>
  <si>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</si>
  <si>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</si>
  <si>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</si>
  <si>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</si>
  <si>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</si>
  <si>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</si>
  <si>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</si>
  <si>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</si>
  <si>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</si>
  <si>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</si>
  <si>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</si>
  <si>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</si>
  <si>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</si>
  <si>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</si>
  <si>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</si>
  <si>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</si>
  <si>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</si>
  <si>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</si>
  <si>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</si>
  <si>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</si>
  <si>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</si>
  <si>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</si>
  <si>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</si>
  <si>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</si>
  <si>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</si>
  <si>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</si>
  <si>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</si>
  <si>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</si>
  <si>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</si>
  <si>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</si>
  <si>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</si>
  <si>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</si>
  <si>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</si>
  <si>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</si>
  <si>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</si>
  <si>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</si>
  <si>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</si>
  <si>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</si>
  <si>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</si>
  <si>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</si>
  <si>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</si>
  <si>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</si>
  <si>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</si>
  <si>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</si>
  <si>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</si>
  <si>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</si>
  <si>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</si>
  <si>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</si>
  <si>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</si>
  <si>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{bd4f265b-82f1-49c5-9537-4077ec0322fb}</t>
  </si>
  <si>
    <t>2</t>
  </si>
  <si>
    <t>{cce428d3-d5cb-4de9-b18e-d03a4fd44952}</t>
  </si>
  <si>
    <t>Vedlejší a ostatní náklady</t>
  </si>
  <si>
    <t>{bf6113bf-d119-4be7-a096-8119b9267a97}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</si>
  <si>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</si>
  <si>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</si>
  <si>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</si>
  <si>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</si>
  <si>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</si>
  <si>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</si>
  <si>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</si>
  <si>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</si>
  <si>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</si>
  <si>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</si>
  <si>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</si>
  <si>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</si>
  <si>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</si>
  <si>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</si>
  <si>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</si>
  <si>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</si>
  <si>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</si>
  <si>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</si>
  <si>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</si>
  <si>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</si>
  <si>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</si>
  <si>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3</t>
  </si>
  <si>
    <t>K</t>
  </si>
  <si>
    <t>kus</t>
  </si>
  <si>
    <t>4</t>
  </si>
  <si>
    <t>m2</t>
  </si>
  <si>
    <t>5</t>
  </si>
  <si>
    <t>m</t>
  </si>
  <si>
    <t>soub</t>
  </si>
  <si>
    <t>Elektroinstalace</t>
  </si>
  <si>
    <t>kpl</t>
  </si>
  <si>
    <t>VRN - Vedlejší rozpočtové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</si>
  <si>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</si>
  <si>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</si>
  <si>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</si>
  <si>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</si>
  <si>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</si>
  <si>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</si>
  <si>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</si>
  <si>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-2147275011</t>
  </si>
  <si>
    <t>VRN3</t>
  </si>
  <si>
    <t>Zařízení staveniště</t>
  </si>
  <si>
    <t>030001000</t>
  </si>
  <si>
    <t>715519582</t>
  </si>
  <si>
    <t>VRN4</t>
  </si>
  <si>
    <t>Inženýrská činnost</t>
  </si>
  <si>
    <t>043103001</t>
  </si>
  <si>
    <t>044003000</t>
  </si>
  <si>
    <t>1251715589</t>
  </si>
  <si>
    <t>Revize - kpl</t>
  </si>
  <si>
    <t>Zkoušky kvality vody</t>
  </si>
  <si>
    <t>Ing. arch. Jan Ságl</t>
  </si>
  <si>
    <t xml:space="preserve">01 - Chodba
</t>
  </si>
  <si>
    <t>Bourací práce</t>
  </si>
  <si>
    <t>kp</t>
  </si>
  <si>
    <t>jedná se o původní prkenné podlahy na dřevěném roštu</t>
  </si>
  <si>
    <t>dojde k demontáži všech kci až na nosnou část střechy</t>
  </si>
  <si>
    <t>Vybourání příček prosklených s parapetem CP tl. 150mm včetně dveří</t>
  </si>
  <si>
    <t>Demontáž původní elektroinstalace v části u novorozenů</t>
  </si>
  <si>
    <t>Vybourání příček  CP tl. 150mm včetně zárubní v části u novorozenů</t>
  </si>
  <si>
    <t>Odstranění dřevěných podlahových konstrukcí vč. nášlapné vrstvy v části u novorozenů</t>
  </si>
  <si>
    <t>obv (m)</t>
  </si>
  <si>
    <t xml:space="preserve">Demontáž původní elektroinstalace </t>
  </si>
  <si>
    <t>silové rozvody, svítidla, nepoužívané rozvaděče</t>
  </si>
  <si>
    <t>Silové rozvody, svítidla, nepoužívané rozvaděče</t>
  </si>
  <si>
    <t>Demontáž dveřní a vybourání zárubní do pokojů š. 1100mm</t>
  </si>
  <si>
    <t>Oškrabání omítek + omítí tlakovou vodou</t>
  </si>
  <si>
    <t xml:space="preserve">Demontáž dveřní a vybourání zárubní </t>
  </si>
  <si>
    <t>Demontáž radiátorů</t>
  </si>
  <si>
    <t>Demontáž parapetů</t>
  </si>
  <si>
    <t>Demontáž vstupního portálu na schodiště</t>
  </si>
  <si>
    <t xml:space="preserve">Vybourání příček  CP tl. 150mm včetně zárubní </t>
  </si>
  <si>
    <t>Demontáže nábytkových prvků</t>
  </si>
  <si>
    <t>Vybourání (zvětšení) dveřního otvoru v nosné stěně včetně osazení překladů</t>
  </si>
  <si>
    <t>Vybourání  dveřního otvoru v příčce včetně osazení překladů (infuzní sklad)</t>
  </si>
  <si>
    <t>Svislé konstrukce</t>
  </si>
  <si>
    <t>V části pro novorozence</t>
  </si>
  <si>
    <t>Příčka tl. 150mm - porobeton</t>
  </si>
  <si>
    <t>Úpravy povrchů</t>
  </si>
  <si>
    <t>Odstranění podlahového PVC včetně zbroušení podkladní vrstvy a soklíků</t>
  </si>
  <si>
    <t>Pevnost v tlaku ≥ 35 N/mm² (po 28 dnech)</t>
  </si>
  <si>
    <t>Samonivelační podlahová stěrka cementová pro tl. 2-30mm</t>
  </si>
  <si>
    <t>výška 2,5m</t>
  </si>
  <si>
    <t>Vyrovnání špalet dveřních otvorů stavebním lepidlem, výztuhy rohů, včetně nadpraží</t>
  </si>
  <si>
    <t>Vysokozátěžové homogenní PVC bez ftalátů</t>
  </si>
  <si>
    <t xml:space="preserve">Vytahované fabiony z PVC </t>
  </si>
  <si>
    <t>Strukturální SDK podhled</t>
  </si>
  <si>
    <t>Tepelné izolace</t>
  </si>
  <si>
    <t>součástí bude impergnace všech dřevěných částí krovu proti škůdcům a plísním</t>
  </si>
  <si>
    <t>ks</t>
  </si>
  <si>
    <t>Ochrana hran rohu ostění- nárožníky z materiálu acrovyn v 1,2m</t>
  </si>
  <si>
    <t>Nová kazetová LED svitidla</t>
  </si>
  <si>
    <t>2x přívod DAT ke každé pozici. Vedeno z TM server ve 4NP ( nad stávající kuchňkou ve 3NP)</t>
  </si>
  <si>
    <t>2x přívod DAT ke každé pozici. Vedeno z TM server ve 4NP ( nad stávající kuchňkou ve 3NP) Rozmístění po 10m v chodbě.</t>
  </si>
  <si>
    <t>Dveře a okna</t>
  </si>
  <si>
    <t>Dveře do lůžkových pokojů š 1200</t>
  </si>
  <si>
    <t>dle arch. návrhu</t>
  </si>
  <si>
    <t>Posuvné automatické dveře š 1200mm</t>
  </si>
  <si>
    <t>Posuvné automatické dveře š 900mm</t>
  </si>
  <si>
    <t>Dveře do sesterny š. 900mm</t>
  </si>
  <si>
    <t>Nový portál do kuchyňky: 2,5x3m</t>
  </si>
  <si>
    <t>Prosklená dělící stěna včetně dvoukřídlých dveří</t>
  </si>
  <si>
    <t>Plastové provedení: 2,7m*3,2m, mléčné sklo</t>
  </si>
  <si>
    <t>Protipožární sklo, 3,2m*3,2m, pozice na schodišti</t>
  </si>
  <si>
    <t>Vedeno z TM server ve 4NP ( nad stávající kuchňkou ve 3NP)</t>
  </si>
  <si>
    <t>Zásuvková instalace D+M</t>
  </si>
  <si>
    <t>rozvody DAT  D+M</t>
  </si>
  <si>
    <t>Příprava na stropní kamery  D+M</t>
  </si>
  <si>
    <t>2x přívod DAT ke každé pozici. Vedeno z TM server ve 4NP ( nad stávající kuchňkou ve 3NP), vedeno průvrtem z chodby nad vstup do bočních místností</t>
  </si>
  <si>
    <t>včetně osazení překladu</t>
  </si>
  <si>
    <t>Replika původního  portálu - plastové profily, mléčné sklo, včetně dveří</t>
  </si>
  <si>
    <t>Potažení stěn stavebním lepidlem vč. výztužné stěrky</t>
  </si>
  <si>
    <t>02 Novorozenci</t>
  </si>
  <si>
    <t>ZTI</t>
  </si>
  <si>
    <t>Nové deskové radiátory jako náhrada za demontované</t>
  </si>
  <si>
    <t>Vybourání předělení chodby včetně dveří</t>
  </si>
  <si>
    <t xml:space="preserve">Demontáž ZTI </t>
  </si>
  <si>
    <t>Demontáž původního omítnutého podhledu</t>
  </si>
  <si>
    <t>Odstranění stropního podhledu vč. omítky v části pro novorozence</t>
  </si>
  <si>
    <t>Nové parapety - bíle plastové</t>
  </si>
  <si>
    <t>Demontáž ZTI - původní mléčná kuchyňka</t>
  </si>
  <si>
    <t>Vyrovnání stěn stavebním lepidlem do 2x5mm vč. penetrace</t>
  </si>
  <si>
    <t xml:space="preserve">Potažení stěn stavebním lepidlem vč. výztužné stěrky </t>
  </si>
  <si>
    <t>Nový hlavní rozvaděč v místě stávajícího včetně ZIS, nový el přívod z 1PP (5*25mm2 pritipožární) stávající šachtou, protipožární provedení rozvaděče. Včetně protipožární ucpávky v šachtě</t>
  </si>
  <si>
    <t>Nová kce podlahy v části pro novorozence. Podkladní vyrovnávací hranoly + 2x cetris 25mm vč. přelepení spojů a přestěrkování</t>
  </si>
  <si>
    <t>Nová kazetová LED svitidla/ vč stmívání</t>
  </si>
  <si>
    <t>Zásuvková instalace dle standardů D+M</t>
  </si>
  <si>
    <t>Rozvody pro vyhřívané lůžko (DO, VDO) - stropní rampa</t>
  </si>
  <si>
    <t>Přívody EL pro mléčnou kuchyňku</t>
  </si>
  <si>
    <t>Rozvody ve stěnách -  2x DAT + 2xSIL po 2m</t>
  </si>
  <si>
    <t>TOTAL STOP</t>
  </si>
  <si>
    <t>Příprava pro kuchyňku</t>
  </si>
  <si>
    <t>Prosklená stěna vč. posuvné dveře š.800mm</t>
  </si>
  <si>
    <t>Příprava pro osazení sodabaru</t>
  </si>
  <si>
    <t>překlad pro otvor 1m</t>
  </si>
  <si>
    <t>umyvadlo D+M včetně připojení</t>
  </si>
  <si>
    <t>Nová kazetová LED svitidla, včetně nouzových modulů</t>
  </si>
  <si>
    <t>Nouzová světla nad dveře</t>
  </si>
  <si>
    <t>03 Denní místnost</t>
  </si>
  <si>
    <t>Přívody EL pro kuchyňku</t>
  </si>
  <si>
    <t>Dvojnásobná malba stěn dle architektonického návrhu</t>
  </si>
  <si>
    <t>Dvě kancelářská místa</t>
  </si>
  <si>
    <r>
      <t>Rozvod</t>
    </r>
    <r>
      <rPr>
        <sz val="10"/>
        <color rgb="FFFF0000"/>
        <rFont val="Arial CE"/>
        <family val="2"/>
      </rPr>
      <t xml:space="preserve"> pro TV</t>
    </r>
  </si>
  <si>
    <t xml:space="preserve">Instalace dle standardů </t>
  </si>
  <si>
    <t>klasifikace hořlavosti  Cfl.S1, dle standardů REACH</t>
  </si>
  <si>
    <t>klasifikace hořlavosti  Cfl.S1,dle standardů REACH</t>
  </si>
  <si>
    <t>Dvoubarevné provedení- vkladané kulaté tvary, klasifikace hořlavosti  Cfl.S1, dle standardů REACH</t>
  </si>
  <si>
    <t>Keramický obklad za kuch. Linkou</t>
  </si>
  <si>
    <t>04 Sprchy, 05 Čistící m., 06 Sklad infuzních roztoků, 07 WC zam., 08 WC pacienti</t>
  </si>
  <si>
    <t>Odstranění keramických dlažeb.  včetně zbroušení podkladní vrstvy a soklíků</t>
  </si>
  <si>
    <t>Oškrabání omítek + omytí tlakovou vodou</t>
  </si>
  <si>
    <t>Keramická dlažba  D+M spárovaní epoxidovou spárovací hmotou</t>
  </si>
  <si>
    <t>Dveře do vlhka, wc zámek, š. 700mm</t>
  </si>
  <si>
    <t>Sprchový kout, včetně instalace a vybavení</t>
  </si>
  <si>
    <t>WC mísa, včetně instalace a vybavení</t>
  </si>
  <si>
    <t>umyvadlo včetně instalace a vybavení</t>
  </si>
  <si>
    <t>výlevka včetně instalace a vybavení</t>
  </si>
  <si>
    <t>příprava pro pračku a sušičku</t>
  </si>
  <si>
    <t>rozvody DAT do čistící i infuzní m.</t>
  </si>
  <si>
    <t>09 Koupelna nadstandartní pokoj, Koupelna pokoj 17</t>
  </si>
  <si>
    <t>Bourání příček tl. 150mm</t>
  </si>
  <si>
    <t>sprchy a wc připojeny DAT na systém signalizace sestra x pacient</t>
  </si>
  <si>
    <t>Keramický obklad v 2,0m spárovaní epoxidovou spárovací hmotou</t>
  </si>
  <si>
    <t>Odstranění obkladů, oškrabání omítek + omytí tlakovou vodou</t>
  </si>
  <si>
    <t>rozvody DAT do sprchy - systém sestra x pacient</t>
  </si>
  <si>
    <t>Hydroizolační stěrka ve dvou vrstvách vytažená 1m nad  podlahu včetně bandáží rohů a koutů, ve sprchách vytažena 2,3m nad podlahu</t>
  </si>
  <si>
    <t>Porodní box 1, porodní box 2, porodní box 3</t>
  </si>
  <si>
    <t>Vysokozátěžové homogenní PVC bez ftalátů,elektrostatické EL5</t>
  </si>
  <si>
    <t>Rozvody ve stěnách -  2x DAT + 2xSIL po3m</t>
  </si>
  <si>
    <t>Rozvody pro gynekologické křeslo (DO, VDO) - stropní rampa</t>
  </si>
  <si>
    <t>Posuvné prosklné dveře do kapsy - mléčné sklo, š. 700mm</t>
  </si>
  <si>
    <t>Otočné prosklené dveře š700mm, wc zámek</t>
  </si>
  <si>
    <t>Nové okno pro porodní box č. 1- vč. dělící příčky</t>
  </si>
  <si>
    <t>Instalace pro kuchyňskou linku</t>
  </si>
  <si>
    <t>vana  včetně instalace a vybavení</t>
  </si>
  <si>
    <t>Sprchový kout, včetně instalace a vybavení, walk inn včetně madel</t>
  </si>
  <si>
    <t>Rozvody pro TV</t>
  </si>
  <si>
    <t>Sesterna a vyšetřovna</t>
  </si>
  <si>
    <t>Rozvody kancelarskou pozici -  6x DAT + 8xSIL</t>
  </si>
  <si>
    <t>Pokoje 11,12,13,14,15,16</t>
  </si>
  <si>
    <t>Keramický obklad vaničkou</t>
  </si>
  <si>
    <t>vlastní pokojovy rozvaděč</t>
  </si>
  <si>
    <t>Instalace vaničky pro novorozence</t>
  </si>
  <si>
    <t>Původní ZTI - wc na konci chodby</t>
  </si>
  <si>
    <t>Válcované nosníky IPE 250</t>
  </si>
  <si>
    <t>Minerální tepelná izolace mezi krokve , λᴅ 0,039 nebo lepší, tl. 300mm včetně dřevěného pomocného roštu a hliníkovou parozábranou- v části u novorozenů</t>
  </si>
  <si>
    <t>Odstranění původních podhledů na rákosové rohoži včetně nosného roštu v části u novorozenů</t>
  </si>
  <si>
    <t>01 Chodba</t>
  </si>
  <si>
    <t>Nový nerezový hydrant 25m</t>
  </si>
  <si>
    <t>pozn. všechny kompletní kompletní v protipožární úpravě rozvodů</t>
  </si>
  <si>
    <t>celoprosklené mléčné sklo, el. ovládání na tlačítko, automatické</t>
  </si>
  <si>
    <t>Dveře do hygienických prostor š. 600-900mm</t>
  </si>
  <si>
    <t>Rozvody pro kancelářskou pozici (6xDAT + 8xSIL)</t>
  </si>
  <si>
    <t>Rozvody pro inkubátory (DO, VDO)</t>
  </si>
  <si>
    <t>Nová kazetová LED svítidla/ vč. stmívání</t>
  </si>
  <si>
    <t xml:space="preserve">Příprava na stropní wifi </t>
  </si>
  <si>
    <t xml:space="preserve">2x přívod DAT ke každé pozici. Vedeno z TM server ve 4NP ( nad stávající kuchyňkou ve 3NP) </t>
  </si>
  <si>
    <t>Vedeno z TM server ve 4NP ( nad stávající kuchyňkou ve 3NP)</t>
  </si>
  <si>
    <t>2x přívod DAT ke každé pozici. Vedeno z TM server ve 4NP ( nad stávající kuchyňkou ve 3NP)</t>
  </si>
  <si>
    <t>nové okno včetně dělící příčky k mléčné kuchyňce 1650*1620- izolační trojsklo</t>
  </si>
  <si>
    <t>celoprosklené mléčné sklo, el. ovládání na tlačítko, automatické, bezpečnostní sklo</t>
  </si>
  <si>
    <t>v ---  níže se nacházejí doplňkové a pomocné údaje k sestavám  --- v</t>
  </si>
  <si>
    <t>Odstranění dveří vč. zárubně v nosně zdi včetně začištění otvoru v části u novorozenců</t>
  </si>
  <si>
    <t>Vybourání příček  CP tl. 150mm včetně zárubní v části u novorozenců</t>
  </si>
  <si>
    <t>Odstranění dřevěných podlahových konstrukcí vč. nášlapné vrstvy v části u novorozenců</t>
  </si>
  <si>
    <t>Demontáž původní elektroinstalace v části u novorozenců</t>
  </si>
  <si>
    <t>Příčka tl. 150mm - pórobeton</t>
  </si>
  <si>
    <t>Minerální tepelná izolace mezi krokve , λᴅ 0,039 nebo lepší, tl. 300mm včetně dřeveného pomocného roštu a hliníkovou parozábranou- v části u novorozenců</t>
  </si>
  <si>
    <t>součástí bude impregnace všech dřevěných částí krovu proti škůdcům a plísním</t>
  </si>
  <si>
    <t>04 Sprchy, 05 Čistící místnost, 06 WC zam, 08 WC pac,</t>
  </si>
  <si>
    <t>nouzová svídidla</t>
  </si>
  <si>
    <t>Nouzová světla</t>
  </si>
  <si>
    <t>Porodní box 1, porodní box 2, Porodní box 3,</t>
  </si>
  <si>
    <t>Porodní box 1, porodní box 2, Porodní box 3</t>
  </si>
  <si>
    <t>TM UPS 4NP</t>
  </si>
  <si>
    <t>Prosklený vstupní protipožární portál EI45 DP1-S</t>
  </si>
  <si>
    <t>Protipožární dveře  EI30 DP1- S, š. 1200</t>
  </si>
  <si>
    <t>Protipožární dveře  EI30 DP1 S, š. 900</t>
  </si>
  <si>
    <t>Rozvodna UPS 4NP</t>
  </si>
  <si>
    <t>USP včetně přívodu pro okruhy VDO,napojení ramp ve 3NP</t>
  </si>
  <si>
    <t>VRN5</t>
  </si>
  <si>
    <t>Přesuny hmot a stavební suti</t>
  </si>
  <si>
    <t xml:space="preserve">Likvidace odpadů </t>
  </si>
  <si>
    <t>Stavební výtahy</t>
  </si>
  <si>
    <t>Multisplitová klimatizační jednotka  výkonu 7kW s odkapem, včetně napojení a samostatného jištění</t>
  </si>
  <si>
    <t>tapety vinylové</t>
  </si>
  <si>
    <t>Oprava gynekologicko-porodnické oddělení</t>
  </si>
  <si>
    <t>Odstranění dveří vč. zárubně v nosné zdi včetně začištění otvoru v části u novorozenů</t>
  </si>
  <si>
    <t>Odstranění dveří vč. zárubně v nosné zdi včetně začištění otvoru</t>
  </si>
  <si>
    <t>Vybourání  dřevěného portálového okna do kuchyňky 2,5*3m</t>
  </si>
  <si>
    <t>Překlady do porobetonové příčky vč. osazení dl. 1500mm</t>
  </si>
  <si>
    <t>Příprava na stropní wifi v hlavní chodbě</t>
  </si>
  <si>
    <t>Příprava na wifi v jednotlivých místnostech  D+M</t>
  </si>
  <si>
    <t>Keramický obklad za kuch. Linku</t>
  </si>
  <si>
    <t>Příloha č. 4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</si>
</sst>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9"/>
      <color rgb="FFFF0000"/>
      <name val="Arial CE"/>
      <family val="2"/>
    </font>
    <font>
      <sz val="10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hair">
        <color rgb="FF969696"/>
      </top>
      <bottom style="hair">
        <color rgb="FF969696"/>
      </bottom>
    </border>
    <border>
      <left style="hair">
        <color rgb="FF969696"/>
      </left>
      <right style="medium"/>
      <top style="hair">
        <color rgb="FF969696"/>
      </top>
      <bottom style="hair">
        <color rgb="FF969696"/>
      </bottom>
    </border>
    <border>
      <left style="medium"/>
      <right/>
      <top/>
      <bottom style="medium"/>
    </border>
    <border>
      <left style="hair">
        <color rgb="FF969696"/>
      </left>
      <right style="hair">
        <color rgb="FF969696"/>
      </right>
      <top style="hair">
        <color rgb="FF969696"/>
      </top>
      <bottom style="medium"/>
    </border>
    <border>
      <left style="hair">
        <color rgb="FF969696"/>
      </left>
      <right style="medium"/>
      <top style="hair">
        <color rgb="FF969696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hair">
        <color rgb="FF969696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/>
      <right style="medium"/>
      <top style="hair">
        <color rgb="FF969696"/>
      </top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">
      <alignment vertical="top"/>
      <protection/>
    </xf>
    <xf numFmtId="0" fontId="31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1" xfId="0" applyNumberFormat="1" applyFont="1" applyBorder="1"/>
    <xf numFmtId="166" fontId="29" fillId="0" borderId="12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4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3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3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24" xfId="0" applyBorder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7" fontId="19" fillId="0" borderId="0" xfId="0" applyNumberFormat="1" applyFont="1" applyAlignment="1" applyProtection="1">
      <alignment vertical="center"/>
      <protection locked="0"/>
    </xf>
    <xf numFmtId="4" fontId="19" fillId="0" borderId="0" xfId="0" applyNumberFormat="1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5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4" fontId="21" fillId="0" borderId="29" xfId="0" applyNumberFormat="1" applyFont="1" applyBorder="1"/>
    <xf numFmtId="0" fontId="9" fillId="0" borderId="28" xfId="0" applyFont="1" applyBorder="1"/>
    <xf numFmtId="4" fontId="7" fillId="0" borderId="29" xfId="0" applyNumberFormat="1" applyFont="1" applyBorder="1"/>
    <xf numFmtId="4" fontId="19" fillId="0" borderId="31" xfId="0" applyNumberFormat="1" applyFont="1" applyBorder="1" applyAlignment="1" applyProtection="1">
      <alignment vertical="center"/>
      <protection locked="0"/>
    </xf>
    <xf numFmtId="4" fontId="19" fillId="0" borderId="29" xfId="0" applyNumberFormat="1" applyFont="1" applyBorder="1" applyAlignment="1" applyProtection="1">
      <alignment vertical="center"/>
      <protection locked="0"/>
    </xf>
    <xf numFmtId="0" fontId="0" fillId="0" borderId="28" xfId="0" applyBorder="1"/>
    <xf numFmtId="0" fontId="0" fillId="0" borderId="29" xfId="0" applyBorder="1"/>
    <xf numFmtId="0" fontId="36" fillId="0" borderId="0" xfId="0" applyFont="1" applyAlignment="1">
      <alignment horizontal="left" wrapText="1"/>
    </xf>
    <xf numFmtId="4" fontId="8" fillId="0" borderId="29" xfId="0" applyNumberFormat="1" applyFont="1" applyBorder="1"/>
    <xf numFmtId="0" fontId="0" fillId="0" borderId="28" xfId="0" applyBorder="1" applyAlignment="1" applyProtection="1">
      <alignment vertical="center"/>
      <protection locked="0"/>
    </xf>
    <xf numFmtId="0" fontId="10" fillId="0" borderId="28" xfId="0" applyFont="1" applyBorder="1" applyAlignment="1">
      <alignment vertical="center"/>
    </xf>
    <xf numFmtId="0" fontId="0" fillId="0" borderId="32" xfId="0" applyBorder="1"/>
    <xf numFmtId="0" fontId="19" fillId="0" borderId="33" xfId="0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center" vertical="center" wrapText="1"/>
      <protection locked="0"/>
    </xf>
    <xf numFmtId="167" fontId="19" fillId="0" borderId="33" xfId="0" applyNumberFormat="1" applyFont="1" applyBorder="1" applyAlignment="1" applyProtection="1">
      <alignment vertical="center"/>
      <protection locked="0"/>
    </xf>
    <xf numFmtId="4" fontId="19" fillId="0" borderId="33" xfId="0" applyNumberFormat="1" applyFont="1" applyBorder="1" applyAlignment="1" applyProtection="1">
      <alignment vertical="center"/>
      <protection locked="0"/>
    </xf>
    <xf numFmtId="4" fontId="19" fillId="0" borderId="34" xfId="0" applyNumberFormat="1" applyFont="1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" fontId="19" fillId="0" borderId="39" xfId="0" applyNumberFormat="1" applyFont="1" applyBorder="1" applyAlignment="1" applyProtection="1">
      <alignment vertical="center"/>
      <protection locked="0"/>
    </xf>
    <xf numFmtId="0" fontId="0" fillId="0" borderId="40" xfId="0" applyBorder="1"/>
    <xf numFmtId="0" fontId="0" fillId="0" borderId="24" xfId="0" applyBorder="1"/>
    <xf numFmtId="0" fontId="0" fillId="0" borderId="41" xfId="0" applyBorder="1"/>
    <xf numFmtId="0" fontId="0" fillId="0" borderId="37" xfId="0" applyBorder="1"/>
    <xf numFmtId="0" fontId="0" fillId="0" borderId="38" xfId="0" applyBorder="1"/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0" applyBorder="1"/>
    <xf numFmtId="0" fontId="0" fillId="0" borderId="47" xfId="0" applyBorder="1"/>
    <xf numFmtId="4" fontId="10" fillId="0" borderId="0" xfId="0" applyNumberFormat="1" applyFont="1" applyAlignment="1">
      <alignment vertical="center"/>
    </xf>
    <xf numFmtId="4" fontId="19" fillId="0" borderId="48" xfId="0" applyNumberFormat="1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29" xfId="0" applyFont="1" applyBorder="1" applyAlignment="1">
      <alignment horizontal="left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9" xfId="0" applyBorder="1" applyAlignment="1">
      <alignment vertical="center"/>
    </xf>
    <xf numFmtId="4" fontId="21" fillId="0" borderId="29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9" fillId="3" borderId="29" xfId="0" applyFon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0" fillId="0" borderId="32" xfId="0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right" vertical="center"/>
    </xf>
    <xf numFmtId="49" fontId="24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4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9" fillId="3" borderId="22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4" borderId="0" xfId="0" applyFont="1" applyFill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fnRegressQ" xfId="22"/>
    <cellStyle name="Normal_J35_Galerie HARFA_VV" xfId="23"/>
    <cellStyle name="Měna 2" xfId="24"/>
    <cellStyle name="Měna 3" xfId="25"/>
    <cellStyle name="Název 2" xfId="26"/>
    <cellStyle name="Normální 9" xfId="27"/>
    <cellStyle name="Hypertextový odkaz 2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gl\iCloudDrive\Magnet\OC%20KRAKOV%20-%20FIT2B%20v&#253;kaz%20v&#253;m&#283;r_1.7_20180827_rev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ekapitulace STAVEBNÍ ČÁST"/>
      <sheetName val="STAVEBNÍ ČÁST"/>
      <sheetName val="ZTI"/>
      <sheetName val="VZT"/>
      <sheetName val="EL"/>
      <sheetName val="SHZ"/>
      <sheetName val="EPS"/>
      <sheetName val="ROZVODY TEPLA CHLADU"/>
      <sheetName val="MaR"/>
      <sheetName val="SOZ"/>
    </sheetNames>
    <sheetDataSet>
      <sheetData sheetId="0"/>
      <sheetData sheetId="1">
        <row r="17">
          <cell r="E17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workbookViewId="0" topLeftCell="A99">
      <selection activeCell="BH12" sqref="BH12"/>
    </sheetView>
  </sheetViews>
  <sheetFormatPr defaultColWidth="8.7109375" defaultRowHeight="12"/>
  <cols>
    <col min="1" max="1" width="8.1406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140625" style="0" customWidth="1"/>
    <col min="35" max="35" width="31.7109375" style="0" customWidth="1"/>
    <col min="36" max="37" width="2.421875" style="0" customWidth="1"/>
    <col min="38" max="38" width="8.140625" style="0" customWidth="1"/>
    <col min="39" max="39" width="3.140625" style="0" customWidth="1"/>
    <col min="40" max="40" width="13.1406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1406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7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AS3" s="19" t="s">
        <v>10</v>
      </c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BS4" s="14" t="s">
        <v>11</v>
      </c>
    </row>
    <row r="5" spans="2:71" ht="12" customHeight="1">
      <c r="B5" s="17"/>
      <c r="D5" s="20" t="s">
        <v>12</v>
      </c>
      <c r="K5" s="235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R5" s="17"/>
      <c r="BS5" s="14" t="s">
        <v>6</v>
      </c>
    </row>
    <row r="6" spans="2:71" ht="36.95" customHeight="1">
      <c r="B6" s="17"/>
      <c r="D6" s="22" t="s">
        <v>13</v>
      </c>
      <c r="K6" s="237" t="s">
        <v>307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R6" s="17"/>
      <c r="BS6" s="14" t="s">
        <v>6</v>
      </c>
    </row>
    <row r="7" spans="2:7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2:71" ht="12" customHeight="1">
      <c r="B8" s="17"/>
      <c r="D8" s="23" t="s">
        <v>16</v>
      </c>
      <c r="K8" s="21" t="s">
        <v>17</v>
      </c>
      <c r="AK8" s="23" t="s">
        <v>18</v>
      </c>
      <c r="AN8" s="140">
        <v>45194</v>
      </c>
      <c r="AR8" s="17"/>
      <c r="BS8" s="14" t="s">
        <v>6</v>
      </c>
    </row>
    <row r="9" spans="2:71" ht="14.45" customHeight="1">
      <c r="B9" s="17"/>
      <c r="AR9" s="17"/>
      <c r="BS9" s="14" t="s">
        <v>6</v>
      </c>
    </row>
    <row r="10" spans="2:7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2:71" ht="18.6" customHeight="1">
      <c r="B11" s="17"/>
      <c r="E11" s="21" t="s">
        <v>17</v>
      </c>
      <c r="AK11" s="23" t="s">
        <v>21</v>
      </c>
      <c r="AN11" s="21" t="s">
        <v>1</v>
      </c>
      <c r="AR11" s="17"/>
      <c r="BS11" s="14" t="s">
        <v>6</v>
      </c>
    </row>
    <row r="12" spans="2:71" ht="6.95" customHeight="1">
      <c r="B12" s="17"/>
      <c r="AR12" s="17"/>
      <c r="BS12" s="14" t="s">
        <v>6</v>
      </c>
    </row>
    <row r="13" spans="2:71" ht="12" customHeight="1">
      <c r="B13" s="17"/>
      <c r="D13" s="23" t="s">
        <v>22</v>
      </c>
      <c r="AK13" s="23" t="s">
        <v>20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17</v>
      </c>
      <c r="AK14" s="23" t="s">
        <v>21</v>
      </c>
      <c r="AN14" s="21" t="s">
        <v>1</v>
      </c>
      <c r="AR14" s="17"/>
      <c r="BS14" s="14" t="s">
        <v>6</v>
      </c>
    </row>
    <row r="15" spans="2:71" ht="6.95" customHeight="1">
      <c r="B15" s="17"/>
      <c r="AR15" s="17"/>
      <c r="BS15" s="14" t="s">
        <v>3</v>
      </c>
    </row>
    <row r="16" spans="2:71" ht="12" customHeight="1">
      <c r="B16" s="17"/>
      <c r="D16" s="23" t="s">
        <v>23</v>
      </c>
      <c r="AK16" s="23" t="s">
        <v>20</v>
      </c>
      <c r="AN16" s="21" t="s">
        <v>1</v>
      </c>
      <c r="AR16" s="17"/>
      <c r="BS16" s="14" t="s">
        <v>3</v>
      </c>
    </row>
    <row r="17" spans="2:71" ht="18.6" customHeight="1">
      <c r="B17" s="17"/>
      <c r="E17" s="21" t="s">
        <v>132</v>
      </c>
      <c r="AK17" s="23" t="s">
        <v>21</v>
      </c>
      <c r="AN17" s="21" t="s">
        <v>1</v>
      </c>
      <c r="AR17" s="17"/>
      <c r="BS17" s="14" t="s">
        <v>25</v>
      </c>
    </row>
    <row r="18" spans="2:71" ht="6.95" customHeight="1">
      <c r="B18" s="17"/>
      <c r="AR18" s="17"/>
      <c r="BS18" s="14" t="s">
        <v>6</v>
      </c>
    </row>
    <row r="19" spans="2:71" ht="12" customHeight="1">
      <c r="B19" s="17"/>
      <c r="D19" s="23" t="s">
        <v>26</v>
      </c>
      <c r="AK19" s="23" t="s">
        <v>20</v>
      </c>
      <c r="AN19" s="21" t="s">
        <v>1</v>
      </c>
      <c r="AR19" s="17"/>
      <c r="BS19" s="14" t="s">
        <v>6</v>
      </c>
    </row>
    <row r="20" spans="2:71" ht="18.6" customHeight="1">
      <c r="B20" s="17"/>
      <c r="E20" s="21" t="s">
        <v>17</v>
      </c>
      <c r="AK20" s="23" t="s">
        <v>21</v>
      </c>
      <c r="AN20" s="21" t="s">
        <v>1</v>
      </c>
      <c r="AR20" s="17"/>
      <c r="BS20" s="14" t="s">
        <v>25</v>
      </c>
    </row>
    <row r="21" spans="2:44" ht="6.95" customHeight="1">
      <c r="B21" s="17"/>
      <c r="AR21" s="17"/>
    </row>
    <row r="22" spans="2:44" ht="12" customHeight="1">
      <c r="B22" s="17"/>
      <c r="D22" s="23" t="s">
        <v>27</v>
      </c>
      <c r="AR22" s="17"/>
    </row>
    <row r="23" spans="2:44" ht="47.25" customHeight="1">
      <c r="B23" s="17"/>
      <c r="E23" s="238" t="s">
        <v>28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R23" s="17"/>
    </row>
    <row r="24" spans="2:44" ht="6.95" customHeight="1">
      <c r="B24" s="17"/>
      <c r="AR24" s="17"/>
    </row>
    <row r="25" spans="2:57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26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44" s="1" customFormat="1" ht="26.1" customHeight="1">
      <c r="B26" s="26"/>
      <c r="D26" s="27" t="s">
        <v>29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39">
        <f>ROUND(AG93,2)</f>
        <v>0</v>
      </c>
      <c r="AL26" s="240"/>
      <c r="AM26" s="240"/>
      <c r="AN26" s="240"/>
      <c r="AO26" s="240"/>
      <c r="AR26" s="26"/>
    </row>
    <row r="27" spans="2:44" s="1" customFormat="1" ht="6.95" customHeight="1">
      <c r="B27" s="26"/>
      <c r="AR27" s="26"/>
    </row>
    <row r="28" spans="2:57" s="1" customFormat="1" ht="12.75">
      <c r="B28" s="26"/>
      <c r="L28" s="241" t="s">
        <v>30</v>
      </c>
      <c r="M28" s="241"/>
      <c r="N28" s="241"/>
      <c r="O28" s="241"/>
      <c r="P28" s="241"/>
      <c r="W28" s="241" t="s">
        <v>31</v>
      </c>
      <c r="X28" s="241"/>
      <c r="Y28" s="241"/>
      <c r="Z28" s="241"/>
      <c r="AA28" s="241"/>
      <c r="AB28" s="241"/>
      <c r="AC28" s="241"/>
      <c r="AD28" s="241"/>
      <c r="AE28" s="241"/>
      <c r="AK28" s="241" t="s">
        <v>32</v>
      </c>
      <c r="AL28" s="241"/>
      <c r="AM28" s="241"/>
      <c r="AN28" s="241"/>
      <c r="AO28" s="241"/>
      <c r="AR28" s="30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2:44" s="2" customFormat="1" ht="14.45" customHeight="1">
      <c r="B29" s="30"/>
      <c r="D29" s="23" t="s">
        <v>33</v>
      </c>
      <c r="F29" s="23" t="s">
        <v>34</v>
      </c>
      <c r="L29" s="244">
        <v>0.21</v>
      </c>
      <c r="M29" s="243"/>
      <c r="N29" s="243"/>
      <c r="O29" s="243"/>
      <c r="P29" s="243"/>
      <c r="W29" s="242">
        <f>AK26</f>
        <v>0</v>
      </c>
      <c r="X29" s="243"/>
      <c r="Y29" s="243"/>
      <c r="Z29" s="243"/>
      <c r="AA29" s="243"/>
      <c r="AB29" s="243"/>
      <c r="AC29" s="243"/>
      <c r="AD29" s="243"/>
      <c r="AE29" s="243"/>
      <c r="AK29" s="242">
        <f>AK34-AK26</f>
        <v>0</v>
      </c>
      <c r="AL29" s="243"/>
      <c r="AM29" s="243"/>
      <c r="AN29" s="243"/>
      <c r="AO29" s="243"/>
      <c r="AR29" s="30"/>
    </row>
    <row r="30" spans="2:44" s="2" customFormat="1" ht="14.45" customHeight="1" hidden="1">
      <c r="B30" s="30"/>
      <c r="F30" s="23" t="s">
        <v>36</v>
      </c>
      <c r="L30" s="244">
        <v>0.21</v>
      </c>
      <c r="M30" s="243"/>
      <c r="N30" s="243"/>
      <c r="O30" s="243"/>
      <c r="P30" s="243"/>
      <c r="W30" s="242" t="e">
        <f>ROUND(BB92,2)</f>
        <v>#REF!</v>
      </c>
      <c r="X30" s="243"/>
      <c r="Y30" s="243"/>
      <c r="Z30" s="243"/>
      <c r="AA30" s="243"/>
      <c r="AB30" s="243"/>
      <c r="AC30" s="243"/>
      <c r="AD30" s="243"/>
      <c r="AE30" s="243"/>
      <c r="AK30" s="242">
        <v>0</v>
      </c>
      <c r="AL30" s="243"/>
      <c r="AM30" s="243"/>
      <c r="AN30" s="243"/>
      <c r="AO30" s="243"/>
      <c r="AR30" s="30"/>
    </row>
    <row r="31" spans="2:44" s="2" customFormat="1" ht="14.45" customHeight="1" hidden="1">
      <c r="B31" s="30"/>
      <c r="F31" s="23" t="s">
        <v>37</v>
      </c>
      <c r="L31" s="244">
        <v>0.15</v>
      </c>
      <c r="M31" s="243"/>
      <c r="N31" s="243"/>
      <c r="O31" s="243"/>
      <c r="P31" s="243"/>
      <c r="W31" s="242" t="e">
        <f>ROUND(BC92,2)</f>
        <v>#REF!</v>
      </c>
      <c r="X31" s="243"/>
      <c r="Y31" s="243"/>
      <c r="Z31" s="243"/>
      <c r="AA31" s="243"/>
      <c r="AB31" s="243"/>
      <c r="AC31" s="243"/>
      <c r="AD31" s="243"/>
      <c r="AE31" s="243"/>
      <c r="AK31" s="242">
        <v>0</v>
      </c>
      <c r="AL31" s="243"/>
      <c r="AM31" s="243"/>
      <c r="AN31" s="243"/>
      <c r="AO31" s="243"/>
      <c r="AR31" s="30"/>
    </row>
    <row r="32" spans="2:57" s="2" customFormat="1" ht="14.45" customHeight="1" hidden="1">
      <c r="B32" s="30"/>
      <c r="F32" s="23" t="s">
        <v>38</v>
      </c>
      <c r="L32" s="244">
        <v>0</v>
      </c>
      <c r="M32" s="243"/>
      <c r="N32" s="243"/>
      <c r="O32" s="243"/>
      <c r="P32" s="243"/>
      <c r="W32" s="242" t="e">
        <f>ROUND(BD92,2)</f>
        <v>#REF!</v>
      </c>
      <c r="X32" s="243"/>
      <c r="Y32" s="243"/>
      <c r="Z32" s="243"/>
      <c r="AA32" s="243"/>
      <c r="AB32" s="243"/>
      <c r="AC32" s="243"/>
      <c r="AD32" s="243"/>
      <c r="AE32" s="243"/>
      <c r="AK32" s="242">
        <v>0</v>
      </c>
      <c r="AL32" s="243"/>
      <c r="AM32" s="243"/>
      <c r="AN32" s="243"/>
      <c r="AO32" s="243"/>
      <c r="AR32" s="26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44" s="1" customFormat="1" ht="6.95" customHeight="1">
      <c r="B33" s="26"/>
      <c r="AR33" s="26"/>
    </row>
    <row r="34" spans="2:44" s="1" customFormat="1" ht="26.1" customHeight="1">
      <c r="B34" s="26"/>
      <c r="C34" s="31"/>
      <c r="D34" s="32" t="s">
        <v>39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40</v>
      </c>
      <c r="U34" s="33"/>
      <c r="V34" s="33"/>
      <c r="W34" s="33"/>
      <c r="X34" s="250" t="s">
        <v>41</v>
      </c>
      <c r="Y34" s="251"/>
      <c r="Z34" s="251"/>
      <c r="AA34" s="251"/>
      <c r="AB34" s="251"/>
      <c r="AC34" s="33"/>
      <c r="AD34" s="33"/>
      <c r="AE34" s="33"/>
      <c r="AF34" s="33"/>
      <c r="AG34" s="33"/>
      <c r="AH34" s="33"/>
      <c r="AI34" s="33"/>
      <c r="AJ34" s="33"/>
      <c r="AK34" s="252">
        <f>AK26*1.21</f>
        <v>0</v>
      </c>
      <c r="AL34" s="251"/>
      <c r="AM34" s="251"/>
      <c r="AN34" s="251"/>
      <c r="AO34" s="253"/>
      <c r="AP34" s="31"/>
      <c r="AQ34" s="31"/>
      <c r="AR34" s="26"/>
    </row>
    <row r="35" spans="2:44" s="1" customFormat="1" ht="6.95" customHeight="1">
      <c r="B35" s="26"/>
      <c r="AR35" s="26"/>
    </row>
    <row r="36" spans="2:57" s="1" customFormat="1" ht="14.45" customHeight="1">
      <c r="B36" s="26"/>
      <c r="AR36" s="17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2:44" ht="14.45" customHeight="1">
      <c r="B37" s="17"/>
      <c r="AR37" s="17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57" ht="14.45" customHeight="1">
      <c r="B47" s="17"/>
      <c r="AR47" s="26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2:57" s="1" customFormat="1" ht="14.45" customHeight="1">
      <c r="B48" s="26"/>
      <c r="D48" s="35" t="s">
        <v>42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5" t="s">
        <v>43</v>
      </c>
      <c r="AI48" s="36"/>
      <c r="AJ48" s="36"/>
      <c r="AK48" s="36"/>
      <c r="AL48" s="36"/>
      <c r="AM48" s="36"/>
      <c r="AN48" s="36"/>
      <c r="AO48" s="36"/>
      <c r="AR48" s="17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2:44" ht="12">
      <c r="B49" s="17"/>
      <c r="AR49" s="17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57" ht="12">
      <c r="B58" s="17"/>
      <c r="AR58" s="26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s="1" customFormat="1" ht="12.75">
      <c r="B59" s="26"/>
      <c r="D59" s="37" t="s">
        <v>44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37" t="s">
        <v>45</v>
      </c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7" t="s">
        <v>44</v>
      </c>
      <c r="AI59" s="28"/>
      <c r="AJ59" s="28"/>
      <c r="AK59" s="28"/>
      <c r="AL59" s="28"/>
      <c r="AM59" s="37" t="s">
        <v>45</v>
      </c>
      <c r="AN59" s="28"/>
      <c r="AO59" s="28"/>
      <c r="AR59" s="17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44" ht="12">
      <c r="B60" s="17"/>
      <c r="AR60" s="17"/>
    </row>
    <row r="61" spans="2:44" ht="12">
      <c r="B61" s="17"/>
      <c r="AR61" s="17"/>
    </row>
    <row r="62" spans="2:57" ht="12">
      <c r="B62" s="17"/>
      <c r="AR62" s="26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s="1" customFormat="1" ht="12.75">
      <c r="B63" s="26"/>
      <c r="D63" s="35" t="s">
        <v>46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5" t="s">
        <v>47</v>
      </c>
      <c r="AI63" s="36"/>
      <c r="AJ63" s="36"/>
      <c r="AK63" s="36"/>
      <c r="AL63" s="36"/>
      <c r="AM63" s="36"/>
      <c r="AN63" s="36"/>
      <c r="AO63" s="36"/>
      <c r="AR63" s="17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44" ht="12">
      <c r="B64" s="17"/>
      <c r="AR64" s="17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57" ht="12">
      <c r="B73" s="17"/>
      <c r="AR73" s="26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44" s="1" customFormat="1" ht="12.75">
      <c r="B74" s="26"/>
      <c r="D74" s="37" t="s">
        <v>44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37" t="s">
        <v>45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7" t="s">
        <v>44</v>
      </c>
      <c r="AI74" s="28"/>
      <c r="AJ74" s="28"/>
      <c r="AK74" s="28"/>
      <c r="AL74" s="28"/>
      <c r="AM74" s="37" t="s">
        <v>45</v>
      </c>
      <c r="AN74" s="28"/>
      <c r="AO74" s="28"/>
      <c r="AR74" s="26"/>
    </row>
    <row r="75" spans="2:44" s="1" customFormat="1" ht="12">
      <c r="B75" s="26"/>
      <c r="AR75" s="26"/>
    </row>
    <row r="76" spans="2:57" s="1" customFormat="1" ht="6.95" customHeight="1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9" spans="44:57" ht="12">
      <c r="AR79" s="26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44" s="1" customFormat="1" ht="6.95" customHeight="1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26"/>
    </row>
    <row r="81" spans="2:44" s="1" customFormat="1" ht="24.95" customHeight="1">
      <c r="B81" s="26"/>
      <c r="C81" s="18" t="s">
        <v>48</v>
      </c>
      <c r="AR81" s="26"/>
    </row>
    <row r="82" spans="2:57" s="1" customFormat="1" ht="6.95" customHeight="1">
      <c r="B82" s="26"/>
      <c r="AR82" s="42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2:57" s="3" customFormat="1" ht="12" customHeight="1">
      <c r="B83" s="42"/>
      <c r="C83" s="23" t="s">
        <v>12</v>
      </c>
      <c r="L83" s="3">
        <f>K5</f>
        <v>0</v>
      </c>
      <c r="AR83" s="43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2:57" s="4" customFormat="1" ht="36.95" customHeight="1">
      <c r="B84" s="43"/>
      <c r="C84" s="44" t="s">
        <v>13</v>
      </c>
      <c r="L84" s="245" t="str">
        <f>K6</f>
        <v>Oprava gynekologicko-porodnické oddělení</v>
      </c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R84" s="26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44" s="1" customFormat="1" ht="6.95" customHeight="1">
      <c r="B85" s="26"/>
      <c r="AR85" s="26"/>
    </row>
    <row r="86" spans="2:44" s="1" customFormat="1" ht="12" customHeight="1">
      <c r="B86" s="26"/>
      <c r="C86" s="23" t="s">
        <v>16</v>
      </c>
      <c r="L86" s="45" t="str">
        <f>IF(K8="","",K8)</f>
        <v xml:space="preserve"> </v>
      </c>
      <c r="AI86" s="23" t="s">
        <v>18</v>
      </c>
      <c r="AM86" s="247">
        <f>IF(AN8="","",AN8)</f>
        <v>45194</v>
      </c>
      <c r="AN86" s="247"/>
      <c r="AR86" s="26"/>
    </row>
    <row r="87" spans="2:56" s="1" customFormat="1" ht="6.95" customHeight="1">
      <c r="B87" s="26"/>
      <c r="AR87" s="26"/>
      <c r="AS87" s="223" t="s">
        <v>49</v>
      </c>
      <c r="AT87" s="224"/>
      <c r="AU87" s="47"/>
      <c r="AV87" s="47"/>
      <c r="AW87" s="47"/>
      <c r="AX87" s="47"/>
      <c r="AY87" s="47"/>
      <c r="AZ87" s="47"/>
      <c r="BA87" s="47"/>
      <c r="BB87" s="47"/>
      <c r="BC87" s="47"/>
      <c r="BD87" s="48"/>
    </row>
    <row r="88" spans="2:56" s="1" customFormat="1" ht="15.2" customHeight="1">
      <c r="B88" s="26"/>
      <c r="C88" s="23" t="s">
        <v>19</v>
      </c>
      <c r="L88" s="3" t="str">
        <f>IF(E11="","",E11)</f>
        <v xml:space="preserve"> </v>
      </c>
      <c r="AI88" s="23" t="s">
        <v>23</v>
      </c>
      <c r="AM88" s="227" t="str">
        <f>IF(E17="","",E17)</f>
        <v>Ing. arch. Jan Ságl</v>
      </c>
      <c r="AN88" s="228"/>
      <c r="AO88" s="228"/>
      <c r="AP88" s="228"/>
      <c r="AR88" s="26"/>
      <c r="AS88" s="225"/>
      <c r="AT88" s="226"/>
      <c r="BD88" s="49"/>
    </row>
    <row r="89" spans="2:56" s="1" customFormat="1" ht="15.2" customHeight="1">
      <c r="B89" s="26"/>
      <c r="C89" s="23" t="s">
        <v>22</v>
      </c>
      <c r="L89" s="3" t="str">
        <f>IF(E14="","",E14)</f>
        <v xml:space="preserve"> </v>
      </c>
      <c r="AI89" s="23" t="s">
        <v>26</v>
      </c>
      <c r="AM89" s="227" t="str">
        <f>IF(E20="","",E20)</f>
        <v xml:space="preserve"> </v>
      </c>
      <c r="AN89" s="228"/>
      <c r="AO89" s="228"/>
      <c r="AP89" s="228"/>
      <c r="AR89" s="26"/>
      <c r="AS89" s="225"/>
      <c r="AT89" s="226"/>
      <c r="BD89" s="49"/>
    </row>
    <row r="90" spans="2:56" s="1" customFormat="1" ht="11.1" customHeight="1">
      <c r="B90" s="26"/>
      <c r="AR90" s="26"/>
      <c r="AS90" s="52" t="s">
        <v>55</v>
      </c>
      <c r="AT90" s="53" t="s">
        <v>56</v>
      </c>
      <c r="AU90" s="53" t="s">
        <v>57</v>
      </c>
      <c r="AV90" s="53" t="s">
        <v>58</v>
      </c>
      <c r="AW90" s="53" t="s">
        <v>59</v>
      </c>
      <c r="AX90" s="53" t="s">
        <v>60</v>
      </c>
      <c r="AY90" s="53" t="s">
        <v>61</v>
      </c>
      <c r="AZ90" s="53" t="s">
        <v>62</v>
      </c>
      <c r="BA90" s="53" t="s">
        <v>63</v>
      </c>
      <c r="BB90" s="53" t="s">
        <v>64</v>
      </c>
      <c r="BC90" s="53" t="s">
        <v>65</v>
      </c>
      <c r="BD90" s="54" t="s">
        <v>66</v>
      </c>
    </row>
    <row r="91" spans="2:56" s="1" customFormat="1" ht="29.25" customHeight="1">
      <c r="B91" s="26"/>
      <c r="C91" s="229" t="s">
        <v>50</v>
      </c>
      <c r="D91" s="230"/>
      <c r="E91" s="230"/>
      <c r="F91" s="230"/>
      <c r="G91" s="230"/>
      <c r="H91" s="50"/>
      <c r="I91" s="231" t="s">
        <v>51</v>
      </c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2" t="s">
        <v>52</v>
      </c>
      <c r="AH91" s="230"/>
      <c r="AI91" s="230"/>
      <c r="AJ91" s="230"/>
      <c r="AK91" s="230"/>
      <c r="AL91" s="230"/>
      <c r="AM91" s="230"/>
      <c r="AN91" s="231" t="s">
        <v>53</v>
      </c>
      <c r="AO91" s="230"/>
      <c r="AP91" s="248"/>
      <c r="AQ91" s="51" t="s">
        <v>54</v>
      </c>
      <c r="AR91" s="26"/>
      <c r="AS91" s="55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8"/>
    </row>
    <row r="92" spans="2:57" s="1" customFormat="1" ht="11.1" customHeight="1">
      <c r="B92" s="26"/>
      <c r="AR92" s="56"/>
      <c r="AS92" s="61">
        <f>ROUND(SUM(AS93:AS96),2)</f>
        <v>0</v>
      </c>
      <c r="AT92" s="62" t="e">
        <f>ROUND(SUM(AV92:AW92),2)</f>
        <v>#REF!</v>
      </c>
      <c r="AU92" s="63" t="e">
        <f>ROUND(SUM(AU93:AU96),5)</f>
        <v>#REF!</v>
      </c>
      <c r="AV92" s="62" t="e">
        <f>ROUND(AZ92*L29,2)</f>
        <v>#REF!</v>
      </c>
      <c r="AW92" s="62" t="e">
        <f>ROUND(BA92*#REF!,2)</f>
        <v>#REF!</v>
      </c>
      <c r="AX92" s="62" t="e">
        <f>ROUND(BB92*L29,2)</f>
        <v>#REF!</v>
      </c>
      <c r="AY92" s="62" t="e">
        <f>ROUND(BC92*#REF!,2)</f>
        <v>#REF!</v>
      </c>
      <c r="AZ92" s="62" t="e">
        <f>ROUND(SUM(AZ93:AZ96),2)</f>
        <v>#REF!</v>
      </c>
      <c r="BA92" s="62" t="e">
        <f>ROUND(SUM(BA93:BA96),2)</f>
        <v>#REF!</v>
      </c>
      <c r="BB92" s="62" t="e">
        <f>ROUND(SUM(BB93:BB96),2)</f>
        <v>#REF!</v>
      </c>
      <c r="BC92" s="62" t="e">
        <f>ROUND(SUM(BC93:BC96),2)</f>
        <v>#REF!</v>
      </c>
      <c r="BD92" s="64" t="e">
        <f>ROUND(SUM(BD93:BD96),2)</f>
        <v>#REF!</v>
      </c>
      <c r="BE92" s="5"/>
    </row>
    <row r="93" spans="2:90" s="5" customFormat="1" ht="32.45" customHeight="1">
      <c r="B93" s="56"/>
      <c r="C93" s="57" t="s">
        <v>67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234">
        <f>SUM(AG94:AM103)</f>
        <v>0</v>
      </c>
      <c r="AH93" s="234"/>
      <c r="AI93" s="234"/>
      <c r="AJ93" s="234"/>
      <c r="AK93" s="234"/>
      <c r="AL93" s="234"/>
      <c r="AM93" s="234"/>
      <c r="AN93" s="249">
        <f>SUM(AN94:AP103)</f>
        <v>0</v>
      </c>
      <c r="AO93" s="249"/>
      <c r="AP93" s="249"/>
      <c r="AQ93" s="60" t="s">
        <v>1</v>
      </c>
      <c r="AR93" s="68"/>
      <c r="AS93" s="72">
        <v>0</v>
      </c>
      <c r="AT93" s="73" t="e">
        <f>ROUND(SUM(AV93:AW93),2)</f>
        <v>#REF!</v>
      </c>
      <c r="AU93" s="74" t="e">
        <f>#REF!</f>
        <v>#REF!</v>
      </c>
      <c r="AV93" s="73" t="e">
        <f>#REF!</f>
        <v>#REF!</v>
      </c>
      <c r="AW93" s="73" t="e">
        <f>#REF!</f>
        <v>#REF!</v>
      </c>
      <c r="AX93" s="73" t="e">
        <f>#REF!</f>
        <v>#REF!</v>
      </c>
      <c r="AY93" s="73" t="e">
        <f>#REF!</f>
        <v>#REF!</v>
      </c>
      <c r="AZ93" s="73" t="e">
        <f>#REF!</f>
        <v>#REF!</v>
      </c>
      <c r="BA93" s="73" t="e">
        <f>#REF!</f>
        <v>#REF!</v>
      </c>
      <c r="BB93" s="73" t="e">
        <f>#REF!</f>
        <v>#REF!</v>
      </c>
      <c r="BC93" s="73" t="e">
        <f>#REF!</f>
        <v>#REF!</v>
      </c>
      <c r="BD93" s="75" t="e">
        <f>#REF!</f>
        <v>#REF!</v>
      </c>
      <c r="BE93" s="6"/>
      <c r="BS93" s="65" t="s">
        <v>68</v>
      </c>
      <c r="BT93" s="65" t="s">
        <v>69</v>
      </c>
      <c r="BU93" s="66" t="s">
        <v>70</v>
      </c>
      <c r="BV93" s="65" t="s">
        <v>71</v>
      </c>
      <c r="BW93" s="65" t="s">
        <v>4</v>
      </c>
      <c r="BX93" s="65" t="s">
        <v>72</v>
      </c>
      <c r="CL93" s="65" t="s">
        <v>1</v>
      </c>
    </row>
    <row r="94" spans="1:91" s="6" customFormat="1" ht="35.25" customHeight="1">
      <c r="A94" s="67" t="s">
        <v>73</v>
      </c>
      <c r="B94" s="68"/>
      <c r="C94" s="69"/>
      <c r="D94" s="220"/>
      <c r="E94" s="220"/>
      <c r="F94" s="220"/>
      <c r="G94" s="220"/>
      <c r="H94" s="220"/>
      <c r="I94" s="70"/>
      <c r="J94" s="233" t="s">
        <v>268</v>
      </c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21">
        <f>'01 Chodba'!J82</f>
        <v>0</v>
      </c>
      <c r="AH94" s="222"/>
      <c r="AI94" s="222"/>
      <c r="AJ94" s="222"/>
      <c r="AK94" s="222"/>
      <c r="AL94" s="222"/>
      <c r="AM94" s="222"/>
      <c r="AN94" s="221">
        <f aca="true" t="shared" si="0" ref="AN94:AN103">AG94*1.21</f>
        <v>0</v>
      </c>
      <c r="AO94" s="222"/>
      <c r="AP94" s="222"/>
      <c r="AQ94" s="71" t="s">
        <v>74</v>
      </c>
      <c r="AR94" s="68"/>
      <c r="AS94" s="72">
        <v>0</v>
      </c>
      <c r="AT94" s="73" t="e">
        <f>ROUND(SUM(AV94:AW94),2)</f>
        <v>#REF!</v>
      </c>
      <c r="AU94" s="74" t="e">
        <f>#REF!</f>
        <v>#REF!</v>
      </c>
      <c r="AV94" s="73" t="e">
        <f>#REF!</f>
        <v>#REF!</v>
      </c>
      <c r="AW94" s="73" t="e">
        <f>#REF!</f>
        <v>#REF!</v>
      </c>
      <c r="AX94" s="73" t="e">
        <f>#REF!</f>
        <v>#REF!</v>
      </c>
      <c r="AY94" s="73" t="e">
        <f>#REF!</f>
        <v>#REF!</v>
      </c>
      <c r="AZ94" s="73" t="e">
        <f>#REF!</f>
        <v>#REF!</v>
      </c>
      <c r="BA94" s="73" t="e">
        <f>#REF!</f>
        <v>#REF!</v>
      </c>
      <c r="BB94" s="73" t="e">
        <f>#REF!</f>
        <v>#REF!</v>
      </c>
      <c r="BC94" s="73" t="e">
        <f>#REF!</f>
        <v>#REF!</v>
      </c>
      <c r="BD94" s="75" t="e">
        <f>#REF!</f>
        <v>#REF!</v>
      </c>
      <c r="BT94" s="76" t="s">
        <v>75</v>
      </c>
      <c r="BV94" s="76" t="s">
        <v>71</v>
      </c>
      <c r="BW94" s="76" t="s">
        <v>76</v>
      </c>
      <c r="BX94" s="76" t="s">
        <v>4</v>
      </c>
      <c r="CL94" s="76" t="s">
        <v>1</v>
      </c>
      <c r="CM94" s="76" t="s">
        <v>77</v>
      </c>
    </row>
    <row r="95" spans="1:91" s="6" customFormat="1" ht="16.5" customHeight="1">
      <c r="A95" s="67" t="s">
        <v>73</v>
      </c>
      <c r="B95" s="68"/>
      <c r="C95" s="69"/>
      <c r="D95" s="220"/>
      <c r="E95" s="220"/>
      <c r="F95" s="220"/>
      <c r="G95" s="220"/>
      <c r="H95" s="220"/>
      <c r="I95" s="70"/>
      <c r="J95" s="220" t="s">
        <v>193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1">
        <f>'02 Novorozenci'!J82</f>
        <v>0</v>
      </c>
      <c r="AH95" s="222"/>
      <c r="AI95" s="222"/>
      <c r="AJ95" s="222"/>
      <c r="AK95" s="222"/>
      <c r="AL95" s="222"/>
      <c r="AM95" s="222"/>
      <c r="AN95" s="221">
        <f t="shared" si="0"/>
        <v>0</v>
      </c>
      <c r="AO95" s="222"/>
      <c r="AP95" s="222"/>
      <c r="AQ95" s="71" t="s">
        <v>74</v>
      </c>
      <c r="AR95" s="68"/>
      <c r="AS95" s="72"/>
      <c r="AT95" s="73"/>
      <c r="AU95" s="74"/>
      <c r="AV95" s="73"/>
      <c r="AW95" s="73"/>
      <c r="AX95" s="73"/>
      <c r="AY95" s="73"/>
      <c r="AZ95" s="73"/>
      <c r="BA95" s="73"/>
      <c r="BB95" s="73"/>
      <c r="BC95" s="73"/>
      <c r="BD95" s="75"/>
      <c r="BT95" s="76" t="s">
        <v>75</v>
      </c>
      <c r="BV95" s="76" t="s">
        <v>71</v>
      </c>
      <c r="BW95" s="76" t="s">
        <v>78</v>
      </c>
      <c r="BX95" s="76" t="s">
        <v>4</v>
      </c>
      <c r="CL95" s="76" t="s">
        <v>1</v>
      </c>
      <c r="CM95" s="76" t="s">
        <v>77</v>
      </c>
    </row>
    <row r="96" spans="1:91" s="6" customFormat="1" ht="16.5" customHeight="1">
      <c r="A96" s="67"/>
      <c r="B96" s="68"/>
      <c r="C96" s="69"/>
      <c r="D96" s="220"/>
      <c r="E96" s="220"/>
      <c r="F96" s="220"/>
      <c r="G96" s="220"/>
      <c r="H96" s="220"/>
      <c r="I96" s="70"/>
      <c r="J96" s="220" t="s">
        <v>219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1">
        <f>'03 Denni místnost'!J82</f>
        <v>0</v>
      </c>
      <c r="AH96" s="222"/>
      <c r="AI96" s="222"/>
      <c r="AJ96" s="222"/>
      <c r="AK96" s="222"/>
      <c r="AL96" s="222"/>
      <c r="AM96" s="222"/>
      <c r="AN96" s="221">
        <f t="shared" si="0"/>
        <v>0</v>
      </c>
      <c r="AO96" s="222"/>
      <c r="AP96" s="222"/>
      <c r="AQ96" s="71"/>
      <c r="AR96" s="68"/>
      <c r="AS96" s="77">
        <v>0</v>
      </c>
      <c r="AT96" s="78">
        <f>ROUND(SUM(AV96:AW96),2)</f>
        <v>0</v>
      </c>
      <c r="AU96" s="79" t="e">
        <f>'Vedlejší a ostatn...'!P117</f>
        <v>#REF!</v>
      </c>
      <c r="AV96" s="78">
        <f>'Vedlejší a ostatn...'!J33</f>
        <v>0</v>
      </c>
      <c r="AW96" s="78">
        <f>'Vedlejší a ostatn...'!J34</f>
        <v>0</v>
      </c>
      <c r="AX96" s="78">
        <f>'Vedlejší a ostatn...'!J35</f>
        <v>0</v>
      </c>
      <c r="AY96" s="78">
        <f>'Vedlejší a ostatn...'!J36</f>
        <v>0</v>
      </c>
      <c r="AZ96" s="78">
        <f>'Vedlejší a ostatn...'!F33</f>
        <v>0</v>
      </c>
      <c r="BA96" s="78">
        <f>'Vedlejší a ostatn...'!F34</f>
        <v>0</v>
      </c>
      <c r="BB96" s="78">
        <f>'Vedlejší a ostatn...'!F35</f>
        <v>0</v>
      </c>
      <c r="BC96" s="78">
        <f>'Vedlejší a ostatn...'!F36</f>
        <v>0</v>
      </c>
      <c r="BD96" s="80">
        <f>'Vedlejší a ostatn...'!F37</f>
        <v>0</v>
      </c>
      <c r="BT96" s="76"/>
      <c r="BV96" s="76"/>
      <c r="BW96" s="76"/>
      <c r="BX96" s="76"/>
      <c r="CL96" s="76"/>
      <c r="CM96" s="76"/>
    </row>
    <row r="97" spans="1:91" s="6" customFormat="1" ht="36" customHeight="1">
      <c r="A97" s="67" t="s">
        <v>73</v>
      </c>
      <c r="B97" s="68"/>
      <c r="C97" s="69"/>
      <c r="D97" s="220"/>
      <c r="E97" s="220"/>
      <c r="F97" s="220"/>
      <c r="G97" s="220"/>
      <c r="H97" s="220"/>
      <c r="I97" s="70"/>
      <c r="J97" s="220" t="s">
        <v>290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1">
        <f>'04 Sprchy, 05 Čistící místnos, '!J82</f>
        <v>0</v>
      </c>
      <c r="AH97" s="222"/>
      <c r="AI97" s="222"/>
      <c r="AJ97" s="222"/>
      <c r="AK97" s="222"/>
      <c r="AL97" s="222"/>
      <c r="AM97" s="222"/>
      <c r="AN97" s="221">
        <f t="shared" si="0"/>
        <v>0</v>
      </c>
      <c r="AO97" s="222"/>
      <c r="AP97" s="222"/>
      <c r="AQ97" s="71" t="s">
        <v>74</v>
      </c>
      <c r="AR97" s="26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T97" s="76" t="s">
        <v>75</v>
      </c>
      <c r="BV97" s="76" t="s">
        <v>71</v>
      </c>
      <c r="BW97" s="76" t="s">
        <v>80</v>
      </c>
      <c r="BX97" s="76" t="s">
        <v>4</v>
      </c>
      <c r="CL97" s="76" t="s">
        <v>1</v>
      </c>
      <c r="CM97" s="76" t="s">
        <v>77</v>
      </c>
    </row>
    <row r="98" spans="2:44" s="1" customFormat="1" ht="30" customHeight="1">
      <c r="B98" s="26"/>
      <c r="J98" s="220" t="s">
        <v>240</v>
      </c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1">
        <f>'koupelny pokoje'!J82</f>
        <v>0</v>
      </c>
      <c r="AH98" s="222"/>
      <c r="AI98" s="222"/>
      <c r="AJ98" s="222"/>
      <c r="AK98" s="222"/>
      <c r="AL98" s="222"/>
      <c r="AM98" s="222"/>
      <c r="AN98" s="221">
        <f t="shared" si="0"/>
        <v>0</v>
      </c>
      <c r="AO98" s="222"/>
      <c r="AP98" s="222"/>
      <c r="AR98" s="26"/>
    </row>
    <row r="99" spans="2:44" s="1" customFormat="1" ht="30" customHeight="1">
      <c r="B99" s="26"/>
      <c r="J99" s="220" t="s">
        <v>294</v>
      </c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1">
        <f>'10 Porodni Boxy'!J30</f>
        <v>0</v>
      </c>
      <c r="AH99" s="222"/>
      <c r="AI99" s="222"/>
      <c r="AJ99" s="222"/>
      <c r="AK99" s="222"/>
      <c r="AL99" s="222"/>
      <c r="AM99" s="222"/>
      <c r="AN99" s="221">
        <f t="shared" si="0"/>
        <v>0</v>
      </c>
      <c r="AO99" s="222"/>
      <c r="AP99" s="222"/>
      <c r="AR99" s="26"/>
    </row>
    <row r="100" spans="2:44" s="1" customFormat="1" ht="30" customHeight="1">
      <c r="B100" s="26"/>
      <c r="J100" s="220" t="s">
        <v>258</v>
      </c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1">
        <f>'Sesterna a vyšetřovna'!J82</f>
        <v>0</v>
      </c>
      <c r="AH100" s="222"/>
      <c r="AI100" s="222"/>
      <c r="AJ100" s="222"/>
      <c r="AK100" s="222"/>
      <c r="AL100" s="222"/>
      <c r="AM100" s="222"/>
      <c r="AN100" s="221">
        <f t="shared" si="0"/>
        <v>0</v>
      </c>
      <c r="AO100" s="222"/>
      <c r="AP100" s="222"/>
      <c r="AR100" s="26"/>
    </row>
    <row r="101" spans="2:44" s="1" customFormat="1" ht="30" customHeight="1">
      <c r="B101" s="26"/>
      <c r="J101" s="220" t="s">
        <v>260</v>
      </c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1">
        <f>Pokoje!J82</f>
        <v>0</v>
      </c>
      <c r="AH101" s="222"/>
      <c r="AI101" s="222"/>
      <c r="AJ101" s="222"/>
      <c r="AK101" s="222"/>
      <c r="AL101" s="222"/>
      <c r="AM101" s="222"/>
      <c r="AN101" s="221">
        <f aca="true" t="shared" si="1" ref="AN101">AG101*1.21</f>
        <v>0</v>
      </c>
      <c r="AO101" s="222"/>
      <c r="AP101" s="222"/>
      <c r="AR101" s="26"/>
    </row>
    <row r="102" spans="2:44" s="1" customFormat="1" ht="30" customHeight="1">
      <c r="B102" s="26"/>
      <c r="J102" s="220" t="s">
        <v>299</v>
      </c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1">
        <f>'Rozvodna UPS 4NP'!J82</f>
        <v>0</v>
      </c>
      <c r="AH102" s="222"/>
      <c r="AI102" s="222"/>
      <c r="AJ102" s="222"/>
      <c r="AK102" s="222"/>
      <c r="AL102" s="222"/>
      <c r="AM102" s="222"/>
      <c r="AN102" s="221">
        <f t="shared" si="0"/>
        <v>0</v>
      </c>
      <c r="AO102" s="222"/>
      <c r="AP102" s="222"/>
      <c r="AR102" s="26"/>
    </row>
    <row r="103" spans="2:44" s="1" customFormat="1" ht="30" customHeight="1">
      <c r="B103" s="26"/>
      <c r="J103" s="220" t="s">
        <v>113</v>
      </c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1">
        <f>'Vedlejší a ostatn...'!J117</f>
        <v>0</v>
      </c>
      <c r="AH103" s="222"/>
      <c r="AI103" s="222"/>
      <c r="AJ103" s="222"/>
      <c r="AK103" s="222"/>
      <c r="AL103" s="222"/>
      <c r="AM103" s="222"/>
      <c r="AN103" s="221">
        <f t="shared" si="0"/>
        <v>0</v>
      </c>
      <c r="AO103" s="222"/>
      <c r="AP103" s="222"/>
      <c r="AR103" s="26"/>
    </row>
    <row r="104" spans="2:57" s="1" customFormat="1" ht="6.95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</sheetData>
  <mergeCells count="66">
    <mergeCell ref="J101:AF101"/>
    <mergeCell ref="AG101:AM101"/>
    <mergeCell ref="AN101:AP101"/>
    <mergeCell ref="J100:AF100"/>
    <mergeCell ref="AG100:AM100"/>
    <mergeCell ref="AN100:AP100"/>
    <mergeCell ref="J102:AF102"/>
    <mergeCell ref="AG102:AM102"/>
    <mergeCell ref="AN102:AP102"/>
    <mergeCell ref="J103:AF103"/>
    <mergeCell ref="AG103:AM103"/>
    <mergeCell ref="AN103:AP103"/>
    <mergeCell ref="W31:AE31"/>
    <mergeCell ref="AK31:AO31"/>
    <mergeCell ref="L31:P31"/>
    <mergeCell ref="AN95:AP95"/>
    <mergeCell ref="AG95:AM95"/>
    <mergeCell ref="L84:AO84"/>
    <mergeCell ref="AM86:AN86"/>
    <mergeCell ref="AM88:AP88"/>
    <mergeCell ref="AN91:AP91"/>
    <mergeCell ref="AN94:AP94"/>
    <mergeCell ref="AN93:AP93"/>
    <mergeCell ref="W32:AE32"/>
    <mergeCell ref="AK32:AO32"/>
    <mergeCell ref="L32:P32"/>
    <mergeCell ref="X34:AB34"/>
    <mergeCell ref="AK34:AO34"/>
    <mergeCell ref="W29:AE29"/>
    <mergeCell ref="AK29:AO29"/>
    <mergeCell ref="L29:P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D97:H97"/>
    <mergeCell ref="J97:AF97"/>
    <mergeCell ref="C91:G91"/>
    <mergeCell ref="I91:AF91"/>
    <mergeCell ref="AG91:AM91"/>
    <mergeCell ref="AG94:AM94"/>
    <mergeCell ref="D94:H94"/>
    <mergeCell ref="J94:AF94"/>
    <mergeCell ref="AG93:AM93"/>
    <mergeCell ref="D96:H96"/>
    <mergeCell ref="J96:AF96"/>
    <mergeCell ref="AG96:AM96"/>
    <mergeCell ref="D95:H95"/>
    <mergeCell ref="J95:AF95"/>
    <mergeCell ref="AS87:AT89"/>
    <mergeCell ref="AM89:AP89"/>
    <mergeCell ref="AN97:AP97"/>
    <mergeCell ref="AG97:AM97"/>
    <mergeCell ref="AN96:AP96"/>
    <mergeCell ref="J98:AF98"/>
    <mergeCell ref="AG98:AM98"/>
    <mergeCell ref="AN98:AP98"/>
    <mergeCell ref="J99:AF99"/>
    <mergeCell ref="AG99:AM99"/>
    <mergeCell ref="AN99:AP99"/>
  </mergeCells>
  <hyperlinks>
    <hyperlink ref="A94" location="'SO 01 - Dětská lékařská s...'!C2" display="/"/>
    <hyperlink ref="A95" location="'SO 02 - Magnetická rezonance'!C2" display="/"/>
    <hyperlink ref="A97" location="'SO 03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129"/>
  <sheetViews>
    <sheetView zoomScale="125" zoomScaleNormal="125" workbookViewId="0" topLeftCell="A90">
      <selection activeCell="K90" sqref="K90"/>
    </sheetView>
  </sheetViews>
  <sheetFormatPr defaultColWidth="8.7109375" defaultRowHeight="12"/>
  <cols>
    <col min="6" max="6" width="75.7109375" style="0" customWidth="1"/>
    <col min="9" max="9" width="13.140625" style="0" bestFit="1" customWidth="1"/>
    <col min="10" max="10" width="18.421875" style="0" customWidth="1"/>
  </cols>
  <sheetData>
    <row r="2" spans="2:11" ht="12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ht="12">
      <c r="B3" s="190"/>
      <c r="C3" s="16"/>
      <c r="D3" s="16"/>
      <c r="E3" s="16"/>
      <c r="F3" s="16"/>
      <c r="G3" s="16"/>
      <c r="H3" s="16"/>
      <c r="I3" s="16"/>
      <c r="J3" s="16"/>
      <c r="K3" s="191"/>
    </row>
    <row r="4" spans="2:11" ht="18">
      <c r="B4" s="182"/>
      <c r="D4" s="18" t="s">
        <v>81</v>
      </c>
      <c r="K4" s="183"/>
    </row>
    <row r="5" spans="2:11" ht="12">
      <c r="B5" s="182"/>
      <c r="K5" s="183"/>
    </row>
    <row r="6" spans="2:11" ht="12.75">
      <c r="B6" s="182"/>
      <c r="D6" s="23" t="s">
        <v>13</v>
      </c>
      <c r="K6" s="183"/>
    </row>
    <row r="7" spans="2:11" ht="12.75">
      <c r="B7" s="182"/>
      <c r="E7" s="254" t="str">
        <f>'Rekapitulace stavby'!K6</f>
        <v>Oprava gynekologicko-porodnické oddělení</v>
      </c>
      <c r="F7" s="254"/>
      <c r="G7" s="254"/>
      <c r="H7" s="254"/>
      <c r="K7" s="183"/>
    </row>
    <row r="8" spans="1:12" ht="12.75">
      <c r="A8" s="1"/>
      <c r="B8" s="180"/>
      <c r="C8" s="1"/>
      <c r="D8" s="23" t="s">
        <v>82</v>
      </c>
      <c r="E8" s="1"/>
      <c r="F8" s="1"/>
      <c r="G8" s="1"/>
      <c r="H8" s="1"/>
      <c r="I8" s="1"/>
      <c r="J8" s="1"/>
      <c r="K8" s="181"/>
      <c r="L8" s="1"/>
    </row>
    <row r="9" spans="1:12" ht="15">
      <c r="A9" s="1"/>
      <c r="B9" s="180"/>
      <c r="C9" s="1"/>
      <c r="D9" s="1"/>
      <c r="E9" s="245" t="s">
        <v>295</v>
      </c>
      <c r="F9" s="245"/>
      <c r="G9" s="245"/>
      <c r="H9" s="245"/>
      <c r="I9" s="1"/>
      <c r="J9" s="1"/>
      <c r="K9" s="181"/>
      <c r="L9" s="1"/>
    </row>
    <row r="10" spans="1:12" ht="12">
      <c r="A10" s="1"/>
      <c r="B10" s="180"/>
      <c r="C10" s="1"/>
      <c r="D10" s="1"/>
      <c r="E10" s="1"/>
      <c r="F10" s="1"/>
      <c r="G10" s="1"/>
      <c r="H10" s="1"/>
      <c r="I10" s="1"/>
      <c r="J10" s="1"/>
      <c r="K10" s="181"/>
      <c r="L10" s="1"/>
    </row>
    <row r="11" spans="1:12" ht="12.75">
      <c r="A11" s="1"/>
      <c r="B11" s="180"/>
      <c r="C11" s="1"/>
      <c r="D11" s="23" t="s">
        <v>14</v>
      </c>
      <c r="E11" s="1"/>
      <c r="F11" s="21" t="s">
        <v>1</v>
      </c>
      <c r="G11" s="1"/>
      <c r="H11" s="1"/>
      <c r="I11" s="23" t="s">
        <v>15</v>
      </c>
      <c r="J11" s="21" t="s">
        <v>1</v>
      </c>
      <c r="K11" s="181"/>
      <c r="L11" s="1"/>
    </row>
    <row r="12" spans="1:12" ht="12.75">
      <c r="A12" s="1"/>
      <c r="B12" s="180"/>
      <c r="C12" s="1"/>
      <c r="D12" s="23" t="s">
        <v>16</v>
      </c>
      <c r="E12" s="1"/>
      <c r="F12" s="21" t="s">
        <v>17</v>
      </c>
      <c r="G12" s="1"/>
      <c r="H12" s="1"/>
      <c r="I12" s="23" t="s">
        <v>18</v>
      </c>
      <c r="J12" s="46">
        <f>'Rekapitulace stavby'!AN8</f>
        <v>45194</v>
      </c>
      <c r="K12" s="181"/>
      <c r="L12" s="1"/>
    </row>
    <row r="13" spans="1:12" ht="12">
      <c r="A13" s="1"/>
      <c r="B13" s="180"/>
      <c r="C13" s="1"/>
      <c r="D13" s="1"/>
      <c r="E13" s="1"/>
      <c r="F13" s="1"/>
      <c r="G13" s="1"/>
      <c r="H13" s="1"/>
      <c r="I13" s="1"/>
      <c r="J13" s="1"/>
      <c r="K13" s="181"/>
      <c r="L13" s="1"/>
    </row>
    <row r="14" spans="1:12" ht="12.75">
      <c r="A14" s="1"/>
      <c r="B14" s="180"/>
      <c r="C14" s="1"/>
      <c r="D14" s="23" t="s">
        <v>19</v>
      </c>
      <c r="E14" s="1"/>
      <c r="F14" s="1"/>
      <c r="G14" s="1"/>
      <c r="H14" s="1"/>
      <c r="I14" s="23" t="s">
        <v>20</v>
      </c>
      <c r="J14" s="21" t="str">
        <f>IF('Rekapitulace stavby'!AN10="","",'Rekapitulace stavby'!AN10)</f>
        <v/>
      </c>
      <c r="K14" s="181"/>
      <c r="L14" s="1"/>
    </row>
    <row r="15" spans="1:12" ht="12.75">
      <c r="A15" s="1"/>
      <c r="B15" s="180"/>
      <c r="C15" s="1"/>
      <c r="D15" s="1"/>
      <c r="E15" s="21" t="str">
        <f>IF('Rekapitulace stavby'!E11="","",'Rekapitulace stavby'!E11)</f>
        <v xml:space="preserve"> </v>
      </c>
      <c r="F15" s="1"/>
      <c r="G15" s="1"/>
      <c r="H15" s="1"/>
      <c r="I15" s="23" t="s">
        <v>21</v>
      </c>
      <c r="J15" s="21" t="str">
        <f>IF('Rekapitulace stavby'!AN11="","",'Rekapitulace stavby'!AN11)</f>
        <v/>
      </c>
      <c r="K15" s="181"/>
      <c r="L15" s="1"/>
    </row>
    <row r="16" spans="1:12" ht="12">
      <c r="A16" s="1"/>
      <c r="B16" s="180"/>
      <c r="C16" s="1"/>
      <c r="D16" s="1"/>
      <c r="E16" s="1"/>
      <c r="F16" s="1"/>
      <c r="G16" s="1"/>
      <c r="H16" s="1"/>
      <c r="I16" s="1"/>
      <c r="J16" s="1"/>
      <c r="K16" s="181"/>
      <c r="L16" s="1"/>
    </row>
    <row r="17" spans="1:12" ht="12.75">
      <c r="A17" s="1"/>
      <c r="B17" s="180"/>
      <c r="C17" s="1"/>
      <c r="D17" s="23" t="s">
        <v>22</v>
      </c>
      <c r="E17" s="1"/>
      <c r="F17" s="1"/>
      <c r="G17" s="1"/>
      <c r="H17" s="1"/>
      <c r="I17" s="23" t="s">
        <v>20</v>
      </c>
      <c r="J17" s="21" t="str">
        <f>'Rekapitulace stavby'!AN13</f>
        <v/>
      </c>
      <c r="K17" s="181"/>
      <c r="L17" s="1"/>
    </row>
    <row r="18" spans="1:12" ht="12.75">
      <c r="A18" s="1"/>
      <c r="B18" s="180"/>
      <c r="C18" s="1"/>
      <c r="D18" s="1"/>
      <c r="E18" s="235" t="str">
        <f>'Rekapitulace stavby'!E14</f>
        <v xml:space="preserve"> </v>
      </c>
      <c r="F18" s="235"/>
      <c r="G18" s="235"/>
      <c r="H18" s="235"/>
      <c r="I18" s="23" t="s">
        <v>21</v>
      </c>
      <c r="J18" s="21" t="str">
        <f>'Rekapitulace stavby'!AN14</f>
        <v/>
      </c>
      <c r="K18" s="181"/>
      <c r="L18" s="1"/>
    </row>
    <row r="19" spans="1:12" ht="12">
      <c r="A19" s="1"/>
      <c r="B19" s="180"/>
      <c r="C19" s="1"/>
      <c r="D19" s="1"/>
      <c r="E19" s="1"/>
      <c r="F19" s="1"/>
      <c r="G19" s="1"/>
      <c r="H19" s="1"/>
      <c r="I19" s="1"/>
      <c r="J19" s="1"/>
      <c r="K19" s="181"/>
      <c r="L19" s="1"/>
    </row>
    <row r="20" spans="1:12" ht="12.75">
      <c r="A20" s="1"/>
      <c r="B20" s="180"/>
      <c r="C20" s="1"/>
      <c r="D20" s="23" t="s">
        <v>23</v>
      </c>
      <c r="E20" s="1"/>
      <c r="F20" s="1"/>
      <c r="G20" s="1"/>
      <c r="H20" s="1"/>
      <c r="I20" s="23" t="s">
        <v>20</v>
      </c>
      <c r="J20" s="21" t="s">
        <v>1</v>
      </c>
      <c r="K20" s="181"/>
      <c r="L20" s="1"/>
    </row>
    <row r="21" spans="1:12" ht="12.75">
      <c r="A21" s="1"/>
      <c r="B21" s="180"/>
      <c r="C21" s="1"/>
      <c r="D21" s="1"/>
      <c r="E21" s="21" t="s">
        <v>132</v>
      </c>
      <c r="F21" s="1"/>
      <c r="G21" s="1"/>
      <c r="H21" s="1"/>
      <c r="I21" s="23" t="s">
        <v>21</v>
      </c>
      <c r="J21" s="21" t="s">
        <v>1</v>
      </c>
      <c r="K21" s="181"/>
      <c r="L21" s="1"/>
    </row>
    <row r="22" spans="1:12" ht="12">
      <c r="A22" s="1"/>
      <c r="B22" s="180"/>
      <c r="C22" s="1"/>
      <c r="D22" s="1"/>
      <c r="E22" s="1"/>
      <c r="F22" s="1"/>
      <c r="G22" s="1"/>
      <c r="H22" s="1"/>
      <c r="I22" s="1"/>
      <c r="J22" s="1"/>
      <c r="K22" s="181"/>
      <c r="L22" s="1"/>
    </row>
    <row r="23" spans="1:12" ht="12.75">
      <c r="A23" s="1"/>
      <c r="B23" s="180"/>
      <c r="C23" s="1"/>
      <c r="D23" s="23" t="s">
        <v>26</v>
      </c>
      <c r="E23" s="1"/>
      <c r="F23" s="1"/>
      <c r="G23" s="1"/>
      <c r="H23" s="1"/>
      <c r="I23" s="23" t="s">
        <v>20</v>
      </c>
      <c r="J23" s="21" t="str">
        <f>IF('Rekapitulace stavby'!AN19="","",'Rekapitulace stavby'!AN19)</f>
        <v/>
      </c>
      <c r="K23" s="181"/>
      <c r="L23" s="1"/>
    </row>
    <row r="24" spans="1:12" ht="12.75">
      <c r="A24" s="1"/>
      <c r="B24" s="180"/>
      <c r="C24" s="1"/>
      <c r="D24" s="1"/>
      <c r="E24" s="21" t="str">
        <f>IF('Rekapitulace stavby'!E20="","",'Rekapitulace stavby'!E20)</f>
        <v xml:space="preserve"> </v>
      </c>
      <c r="F24" s="1"/>
      <c r="G24" s="1"/>
      <c r="H24" s="1"/>
      <c r="I24" s="23" t="s">
        <v>21</v>
      </c>
      <c r="J24" s="21" t="str">
        <f>IF('Rekapitulace stavby'!AN20="","",'Rekapitulace stavby'!AN20)</f>
        <v/>
      </c>
      <c r="K24" s="181"/>
      <c r="L24" s="1"/>
    </row>
    <row r="25" spans="1:12" ht="12">
      <c r="A25" s="1"/>
      <c r="B25" s="180"/>
      <c r="C25" s="1"/>
      <c r="D25" s="1"/>
      <c r="E25" s="1"/>
      <c r="F25" s="1"/>
      <c r="G25" s="1"/>
      <c r="H25" s="1"/>
      <c r="I25" s="1"/>
      <c r="J25" s="1"/>
      <c r="K25" s="181"/>
      <c r="L25" s="1"/>
    </row>
    <row r="26" spans="1:12" ht="12.75">
      <c r="A26" s="1"/>
      <c r="B26" s="180"/>
      <c r="C26" s="1"/>
      <c r="D26" s="23" t="s">
        <v>27</v>
      </c>
      <c r="E26" s="1"/>
      <c r="F26" s="1"/>
      <c r="G26" s="1"/>
      <c r="H26" s="1"/>
      <c r="I26" s="1"/>
      <c r="J26" s="1"/>
      <c r="K26" s="181"/>
      <c r="L26" s="1"/>
    </row>
    <row r="27" spans="1:12" ht="12.75">
      <c r="A27" s="7"/>
      <c r="B27" s="192"/>
      <c r="C27" s="7"/>
      <c r="D27" s="7"/>
      <c r="E27" s="238"/>
      <c r="F27" s="238"/>
      <c r="G27" s="238"/>
      <c r="H27" s="238"/>
      <c r="I27" s="7"/>
      <c r="J27" s="7"/>
      <c r="K27" s="193"/>
      <c r="L27" s="7"/>
    </row>
    <row r="28" spans="1:12" ht="12">
      <c r="A28" s="1"/>
      <c r="B28" s="180"/>
      <c r="C28" s="1"/>
      <c r="D28" s="1"/>
      <c r="E28" s="1"/>
      <c r="F28" s="1"/>
      <c r="G28" s="1"/>
      <c r="H28" s="1"/>
      <c r="I28" s="1"/>
      <c r="J28" s="1"/>
      <c r="K28" s="181"/>
      <c r="L28" s="1"/>
    </row>
    <row r="29" spans="1:12" ht="12">
      <c r="A29" s="1"/>
      <c r="B29" s="180"/>
      <c r="C29" s="1"/>
      <c r="D29" s="47"/>
      <c r="E29" s="47"/>
      <c r="F29" s="47"/>
      <c r="G29" s="47"/>
      <c r="H29" s="47"/>
      <c r="I29" s="47"/>
      <c r="J29" s="47"/>
      <c r="K29" s="194"/>
      <c r="L29" s="1"/>
    </row>
    <row r="30" spans="1:12" ht="15.75">
      <c r="A30" s="1"/>
      <c r="B30" s="180"/>
      <c r="C30" s="1"/>
      <c r="D30" s="83" t="s">
        <v>29</v>
      </c>
      <c r="E30" s="1"/>
      <c r="F30" s="1"/>
      <c r="G30" s="1"/>
      <c r="H30" s="1"/>
      <c r="I30" s="1"/>
      <c r="J30" s="59">
        <f>ROUND(J82,2)</f>
        <v>0</v>
      </c>
      <c r="K30" s="181"/>
      <c r="L30" s="1"/>
    </row>
    <row r="31" spans="2:11" ht="12">
      <c r="B31" s="182"/>
      <c r="K31" s="183"/>
    </row>
    <row r="32" spans="2:11" ht="12">
      <c r="B32" s="182"/>
      <c r="K32" s="183"/>
    </row>
    <row r="33" spans="1:12" ht="12">
      <c r="A33" s="1"/>
      <c r="B33" s="184"/>
      <c r="C33" s="41"/>
      <c r="D33" s="41"/>
      <c r="E33" s="41"/>
      <c r="F33" s="41"/>
      <c r="G33" s="41"/>
      <c r="H33" s="41"/>
      <c r="I33" s="41"/>
      <c r="J33" s="41"/>
      <c r="K33" s="185"/>
      <c r="L33" s="1"/>
    </row>
    <row r="34" spans="1:12" ht="18">
      <c r="A34" s="1"/>
      <c r="B34" s="180"/>
      <c r="C34" s="18" t="s">
        <v>83</v>
      </c>
      <c r="D34" s="1"/>
      <c r="E34" s="1"/>
      <c r="F34" s="1"/>
      <c r="G34" s="1"/>
      <c r="H34" s="1"/>
      <c r="I34" s="1"/>
      <c r="J34" s="1"/>
      <c r="K34" s="181"/>
      <c r="L34" s="1"/>
    </row>
    <row r="35" spans="1:12" ht="12">
      <c r="A35" s="1"/>
      <c r="B35" s="180"/>
      <c r="C35" s="1"/>
      <c r="D35" s="1"/>
      <c r="E35" s="1"/>
      <c r="F35" s="1"/>
      <c r="G35" s="1"/>
      <c r="H35" s="1"/>
      <c r="I35" s="1"/>
      <c r="J35" s="1"/>
      <c r="K35" s="181"/>
      <c r="L35" s="1"/>
    </row>
    <row r="36" spans="1:12" ht="12.75">
      <c r="A36" s="1"/>
      <c r="B36" s="180"/>
      <c r="C36" s="23" t="s">
        <v>13</v>
      </c>
      <c r="D36" s="1"/>
      <c r="E36" s="1"/>
      <c r="F36" s="1"/>
      <c r="G36" s="1"/>
      <c r="H36" s="1"/>
      <c r="I36" s="1"/>
      <c r="J36" s="1"/>
      <c r="K36" s="181"/>
      <c r="L36" s="1"/>
    </row>
    <row r="37" spans="1:12" ht="12.75">
      <c r="A37" s="1"/>
      <c r="B37" s="180"/>
      <c r="C37" s="1"/>
      <c r="D37" s="1"/>
      <c r="E37" s="254" t="str">
        <f>E7</f>
        <v>Oprava gynekologicko-porodnické oddělení</v>
      </c>
      <c r="F37" s="254"/>
      <c r="G37" s="254"/>
      <c r="H37" s="254"/>
      <c r="I37" s="1"/>
      <c r="J37" s="1"/>
      <c r="K37" s="181"/>
      <c r="L37" s="1"/>
    </row>
    <row r="38" spans="1:12" ht="12.75">
      <c r="A38" s="1"/>
      <c r="B38" s="180"/>
      <c r="C38" s="23" t="s">
        <v>82</v>
      </c>
      <c r="D38" s="1"/>
      <c r="E38" s="1"/>
      <c r="F38" s="1"/>
      <c r="G38" s="1"/>
      <c r="H38" s="1"/>
      <c r="I38" s="1"/>
      <c r="J38" s="1"/>
      <c r="K38" s="181"/>
      <c r="L38" s="1"/>
    </row>
    <row r="39" spans="1:12" ht="15">
      <c r="A39" s="1"/>
      <c r="B39" s="180"/>
      <c r="C39" s="1"/>
      <c r="D39" s="1"/>
      <c r="E39" s="245" t="str">
        <f>E9</f>
        <v>TM UPS 4NP</v>
      </c>
      <c r="F39" s="245"/>
      <c r="G39" s="245"/>
      <c r="H39" s="245"/>
      <c r="I39" s="1"/>
      <c r="J39" s="1"/>
      <c r="K39" s="181"/>
      <c r="L39" s="1"/>
    </row>
    <row r="40" spans="1:12" ht="12">
      <c r="A40" s="1"/>
      <c r="B40" s="180"/>
      <c r="C40" s="1"/>
      <c r="D40" s="1"/>
      <c r="E40" s="1"/>
      <c r="F40" s="1"/>
      <c r="G40" s="1"/>
      <c r="H40" s="1"/>
      <c r="I40" s="1"/>
      <c r="J40" s="1"/>
      <c r="K40" s="181"/>
      <c r="L40" s="1"/>
    </row>
    <row r="41" spans="1:12" ht="12.75">
      <c r="A41" s="1"/>
      <c r="B41" s="180"/>
      <c r="C41" s="23" t="s">
        <v>16</v>
      </c>
      <c r="D41" s="1"/>
      <c r="E41" s="1"/>
      <c r="F41" s="21" t="str">
        <f>F12</f>
        <v xml:space="preserve"> </v>
      </c>
      <c r="G41" s="1"/>
      <c r="H41" s="1"/>
      <c r="I41" s="23" t="s">
        <v>18</v>
      </c>
      <c r="J41" s="46">
        <f>IF(J12="","",J12)</f>
        <v>45194</v>
      </c>
      <c r="K41" s="181"/>
      <c r="L41" s="1"/>
    </row>
    <row r="42" spans="1:12" ht="12">
      <c r="A42" s="1"/>
      <c r="B42" s="180"/>
      <c r="C42" s="1"/>
      <c r="D42" s="1"/>
      <c r="E42" s="1"/>
      <c r="F42" s="1"/>
      <c r="G42" s="1"/>
      <c r="H42" s="1"/>
      <c r="I42" s="1"/>
      <c r="J42" s="1"/>
      <c r="K42" s="181"/>
      <c r="L42" s="1"/>
    </row>
    <row r="43" spans="1:12" ht="25.5">
      <c r="A43" s="1"/>
      <c r="B43" s="180"/>
      <c r="C43" s="23" t="s">
        <v>19</v>
      </c>
      <c r="D43" s="1"/>
      <c r="E43" s="1"/>
      <c r="F43" s="21" t="str">
        <f>E15</f>
        <v xml:space="preserve"> </v>
      </c>
      <c r="G43" s="1"/>
      <c r="H43" s="1"/>
      <c r="I43" s="23" t="s">
        <v>23</v>
      </c>
      <c r="J43" s="24" t="str">
        <f>E21</f>
        <v>Ing. arch. Jan Ságl</v>
      </c>
      <c r="K43" s="181"/>
      <c r="L43" s="1"/>
    </row>
    <row r="44" spans="1:12" ht="12.75">
      <c r="A44" s="1"/>
      <c r="B44" s="180"/>
      <c r="C44" s="23" t="s">
        <v>22</v>
      </c>
      <c r="D44" s="1"/>
      <c r="E44" s="1"/>
      <c r="F44" s="21" t="str">
        <f>IF(E18="","",E18)</f>
        <v xml:space="preserve"> </v>
      </c>
      <c r="G44" s="1"/>
      <c r="H44" s="1"/>
      <c r="I44" s="23" t="s">
        <v>26</v>
      </c>
      <c r="J44" s="24" t="str">
        <f>E24</f>
        <v xml:space="preserve"> </v>
      </c>
      <c r="K44" s="181"/>
      <c r="L44" s="1"/>
    </row>
    <row r="45" spans="1:12" ht="12">
      <c r="A45" s="1"/>
      <c r="B45" s="180"/>
      <c r="C45" s="1"/>
      <c r="D45" s="1"/>
      <c r="E45" s="1"/>
      <c r="F45" s="1"/>
      <c r="G45" s="1"/>
      <c r="H45" s="1"/>
      <c r="I45" s="1"/>
      <c r="J45" s="1"/>
      <c r="K45" s="181"/>
      <c r="L45" s="1"/>
    </row>
    <row r="46" spans="1:12" ht="12">
      <c r="A46" s="1"/>
      <c r="B46" s="180"/>
      <c r="C46" s="95" t="s">
        <v>84</v>
      </c>
      <c r="D46" s="87"/>
      <c r="E46" s="87"/>
      <c r="F46" s="87"/>
      <c r="G46" s="87"/>
      <c r="H46" s="87"/>
      <c r="I46" s="87"/>
      <c r="J46" s="96" t="s">
        <v>85</v>
      </c>
      <c r="K46" s="195"/>
      <c r="L46" s="1"/>
    </row>
    <row r="47" spans="1:12" ht="12">
      <c r="A47" s="1"/>
      <c r="B47" s="180"/>
      <c r="C47" s="1"/>
      <c r="D47" s="1"/>
      <c r="E47" s="1"/>
      <c r="F47" s="1"/>
      <c r="G47" s="1"/>
      <c r="H47" s="1"/>
      <c r="I47" s="1"/>
      <c r="J47" s="1"/>
      <c r="K47" s="181"/>
      <c r="L47" s="1"/>
    </row>
    <row r="48" spans="1:12" ht="12">
      <c r="A48" s="1"/>
      <c r="B48" s="196"/>
      <c r="C48" s="197"/>
      <c r="D48" s="197"/>
      <c r="E48" s="197"/>
      <c r="F48" s="197"/>
      <c r="G48" s="197"/>
      <c r="H48" s="197"/>
      <c r="I48" s="197"/>
      <c r="J48" s="197"/>
      <c r="K48" s="198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8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9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9"/>
    </row>
    <row r="52" spans="1:12" ht="12.7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9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9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9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9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9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9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8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9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9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9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9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9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9"/>
    </row>
    <row r="67" ht="12" thickBot="1"/>
    <row r="68" spans="1:10" ht="12">
      <c r="A68" s="1"/>
      <c r="B68" s="152"/>
      <c r="C68" s="153"/>
      <c r="D68" s="153"/>
      <c r="E68" s="153"/>
      <c r="F68" s="153"/>
      <c r="G68" s="153"/>
      <c r="H68" s="153"/>
      <c r="I68" s="153"/>
      <c r="J68" s="154"/>
    </row>
    <row r="69" spans="1:10" ht="18">
      <c r="A69" s="1"/>
      <c r="B69" s="155"/>
      <c r="C69" s="18" t="s">
        <v>88</v>
      </c>
      <c r="D69" s="1"/>
      <c r="E69" s="1"/>
      <c r="F69" s="1"/>
      <c r="G69" s="1"/>
      <c r="H69" s="1"/>
      <c r="I69" s="1"/>
      <c r="J69" s="156"/>
    </row>
    <row r="70" spans="1:10" ht="12">
      <c r="A70" s="1"/>
      <c r="B70" s="155"/>
      <c r="C70" s="1"/>
      <c r="D70" s="1"/>
      <c r="E70" s="1"/>
      <c r="F70" s="1"/>
      <c r="G70" s="1"/>
      <c r="H70" s="1"/>
      <c r="I70" s="1"/>
      <c r="J70" s="156"/>
    </row>
    <row r="71" spans="1:10" ht="12.75">
      <c r="A71" s="1"/>
      <c r="B71" s="155"/>
      <c r="C71" s="23" t="s">
        <v>13</v>
      </c>
      <c r="D71" s="1"/>
      <c r="E71" s="1"/>
      <c r="F71" s="1"/>
      <c r="G71" s="1"/>
      <c r="H71" s="1"/>
      <c r="I71" s="1"/>
      <c r="J71" s="156"/>
    </row>
    <row r="72" spans="1:10" ht="12.75">
      <c r="A72" s="1"/>
      <c r="B72" s="155"/>
      <c r="C72" s="1"/>
      <c r="D72" s="1"/>
      <c r="E72" s="254" t="str">
        <f>E7</f>
        <v>Oprava gynekologicko-porodnické oddělení</v>
      </c>
      <c r="F72" s="255"/>
      <c r="G72" s="255"/>
      <c r="H72" s="255"/>
      <c r="I72" s="1"/>
      <c r="J72" s="156"/>
    </row>
    <row r="73" spans="1:10" ht="12.75">
      <c r="A73" s="1"/>
      <c r="B73" s="155"/>
      <c r="C73" s="23" t="s">
        <v>82</v>
      </c>
      <c r="D73" s="1"/>
      <c r="E73" s="1"/>
      <c r="F73" s="1"/>
      <c r="G73" s="1"/>
      <c r="H73" s="1"/>
      <c r="I73" s="1"/>
      <c r="J73" s="156"/>
    </row>
    <row r="74" spans="1:10" ht="15">
      <c r="A74" s="1"/>
      <c r="B74" s="155"/>
      <c r="C74" s="1"/>
      <c r="D74" s="1"/>
      <c r="E74" s="245"/>
      <c r="F74" s="256"/>
      <c r="G74" s="256"/>
      <c r="H74" s="256"/>
      <c r="I74" s="1"/>
      <c r="J74" s="156"/>
    </row>
    <row r="75" spans="1:10" ht="12">
      <c r="A75" s="1"/>
      <c r="B75" s="155"/>
      <c r="C75" s="1"/>
      <c r="D75" s="1"/>
      <c r="E75" s="1"/>
      <c r="F75" s="1"/>
      <c r="G75" s="1"/>
      <c r="H75" s="1"/>
      <c r="I75" s="1"/>
      <c r="J75" s="156"/>
    </row>
    <row r="76" spans="1:10" ht="12.75">
      <c r="A76" s="1"/>
      <c r="B76" s="155"/>
      <c r="C76" s="23" t="s">
        <v>16</v>
      </c>
      <c r="D76" s="1"/>
      <c r="E76" s="1"/>
      <c r="F76" s="21" t="str">
        <f>F12</f>
        <v xml:space="preserve"> </v>
      </c>
      <c r="G76" s="1"/>
      <c r="H76" s="1"/>
      <c r="I76" s="23" t="s">
        <v>18</v>
      </c>
      <c r="J76" s="157">
        <f>IF(J12="","",J12)</f>
        <v>45194</v>
      </c>
    </row>
    <row r="77" spans="1:10" ht="12">
      <c r="A77" s="1"/>
      <c r="B77" s="155"/>
      <c r="C77" s="1"/>
      <c r="D77" s="1"/>
      <c r="E77" s="1"/>
      <c r="F77" s="1"/>
      <c r="G77" s="1"/>
      <c r="H77" s="1"/>
      <c r="I77" s="1"/>
      <c r="J77" s="156"/>
    </row>
    <row r="78" spans="1:10" ht="25.5">
      <c r="A78" s="1"/>
      <c r="B78" s="155"/>
      <c r="C78" s="23" t="s">
        <v>19</v>
      </c>
      <c r="D78" s="1"/>
      <c r="E78" s="1"/>
      <c r="F78" s="21" t="str">
        <f>E15</f>
        <v xml:space="preserve"> </v>
      </c>
      <c r="G78" s="1"/>
      <c r="H78" s="1"/>
      <c r="I78" s="23" t="s">
        <v>23</v>
      </c>
      <c r="J78" s="158" t="str">
        <f>E21</f>
        <v>Ing. arch. Jan Ságl</v>
      </c>
    </row>
    <row r="79" spans="1:10" ht="12.75">
      <c r="A79" s="1"/>
      <c r="B79" s="155"/>
      <c r="C79" s="23" t="s">
        <v>22</v>
      </c>
      <c r="D79" s="1"/>
      <c r="E79" s="1"/>
      <c r="F79" s="21" t="str">
        <f>IF(E18="","",E18)</f>
        <v xml:space="preserve"> </v>
      </c>
      <c r="G79" s="1"/>
      <c r="H79" s="1"/>
      <c r="I79" s="23" t="s">
        <v>26</v>
      </c>
      <c r="J79" s="158" t="str">
        <f>E24</f>
        <v xml:space="preserve"> </v>
      </c>
    </row>
    <row r="80" spans="1:10" ht="12">
      <c r="A80" s="1"/>
      <c r="B80" s="155"/>
      <c r="C80" s="1"/>
      <c r="D80" s="1"/>
      <c r="E80" s="1"/>
      <c r="F80" s="1"/>
      <c r="G80" s="1"/>
      <c r="H80" s="1"/>
      <c r="I80" s="1"/>
      <c r="J80" s="156"/>
    </row>
    <row r="81" spans="1:10" ht="24">
      <c r="A81" s="10"/>
      <c r="B81" s="159"/>
      <c r="C81" s="103" t="s">
        <v>89</v>
      </c>
      <c r="D81" s="104" t="s">
        <v>54</v>
      </c>
      <c r="E81" s="104" t="s">
        <v>50</v>
      </c>
      <c r="F81" s="104" t="s">
        <v>51</v>
      </c>
      <c r="G81" s="104" t="s">
        <v>90</v>
      </c>
      <c r="H81" s="104" t="s">
        <v>91</v>
      </c>
      <c r="I81" s="104" t="s">
        <v>92</v>
      </c>
      <c r="J81" s="160" t="s">
        <v>85</v>
      </c>
    </row>
    <row r="82" spans="1:10" ht="15.75">
      <c r="A82" s="1"/>
      <c r="B82" s="155"/>
      <c r="C82" s="57" t="s">
        <v>100</v>
      </c>
      <c r="D82" s="1"/>
      <c r="E82" s="1"/>
      <c r="F82" s="1"/>
      <c r="G82" s="1"/>
      <c r="H82" s="1"/>
      <c r="I82" s="1"/>
      <c r="J82" s="161">
        <f>SUM(J85:M133)</f>
        <v>0</v>
      </c>
    </row>
    <row r="83" spans="1:10" ht="15">
      <c r="A83" s="11"/>
      <c r="B83" s="162"/>
      <c r="C83" s="11"/>
      <c r="D83" s="112"/>
      <c r="E83" s="113"/>
      <c r="F83" s="113"/>
      <c r="G83" s="11"/>
      <c r="H83" s="11"/>
      <c r="I83" s="11"/>
      <c r="J83" s="163"/>
    </row>
    <row r="84" spans="1:10" ht="15">
      <c r="A84" s="11"/>
      <c r="B84" s="162"/>
      <c r="C84" s="11"/>
      <c r="D84" s="112"/>
      <c r="E84" s="113"/>
      <c r="F84" s="120" t="s">
        <v>134</v>
      </c>
      <c r="G84" s="11"/>
      <c r="H84" s="11"/>
      <c r="I84" s="11"/>
      <c r="J84" s="163"/>
    </row>
    <row r="85" spans="2:10" ht="12">
      <c r="B85" s="166"/>
      <c r="C85" s="123">
        <v>1</v>
      </c>
      <c r="D85" s="123" t="s">
        <v>103</v>
      </c>
      <c r="E85" s="124"/>
      <c r="F85" s="125" t="s">
        <v>300</v>
      </c>
      <c r="G85" s="126" t="s">
        <v>111</v>
      </c>
      <c r="H85" s="127">
        <v>1</v>
      </c>
      <c r="I85" s="128">
        <v>0</v>
      </c>
      <c r="J85" s="164">
        <f>ROUND(I85*H85,2)</f>
        <v>0</v>
      </c>
    </row>
    <row r="86" spans="2:10" ht="24">
      <c r="B86" s="166"/>
      <c r="C86" s="123">
        <v>2</v>
      </c>
      <c r="D86" s="123" t="s">
        <v>103</v>
      </c>
      <c r="E86" s="124"/>
      <c r="F86" s="125" t="s">
        <v>305</v>
      </c>
      <c r="G86" s="126" t="s">
        <v>104</v>
      </c>
      <c r="H86" s="127">
        <v>1</v>
      </c>
      <c r="I86" s="128">
        <v>0</v>
      </c>
      <c r="J86" s="164">
        <f>I86</f>
        <v>0</v>
      </c>
    </row>
    <row r="87" spans="2:10" ht="12">
      <c r="B87" s="166"/>
      <c r="C87" s="123">
        <v>3</v>
      </c>
      <c r="D87" s="123" t="s">
        <v>103</v>
      </c>
      <c r="E87" s="124"/>
      <c r="F87" s="125" t="s">
        <v>158</v>
      </c>
      <c r="G87" s="126" t="s">
        <v>106</v>
      </c>
      <c r="H87" s="127">
        <v>3</v>
      </c>
      <c r="I87" s="128">
        <v>0</v>
      </c>
      <c r="J87" s="164">
        <f>ROUND(I87*H87,2)</f>
        <v>0</v>
      </c>
    </row>
    <row r="88" spans="2:10" ht="12">
      <c r="B88" s="166"/>
      <c r="C88" s="123">
        <v>4</v>
      </c>
      <c r="D88" s="123" t="s">
        <v>103</v>
      </c>
      <c r="E88" s="124"/>
      <c r="F88" s="125" t="s">
        <v>298</v>
      </c>
      <c r="G88" s="126" t="s">
        <v>170</v>
      </c>
      <c r="H88" s="127">
        <v>3</v>
      </c>
      <c r="I88" s="128">
        <v>0</v>
      </c>
      <c r="J88" s="164">
        <f>ROUND(I88*H88,2)</f>
        <v>0</v>
      </c>
    </row>
    <row r="89" spans="2:10" ht="12" thickBot="1">
      <c r="B89" s="172"/>
      <c r="C89" s="199"/>
      <c r="D89" s="200"/>
      <c r="E89" s="200"/>
      <c r="F89" s="200"/>
      <c r="G89" s="200"/>
      <c r="H89" s="200"/>
      <c r="I89" s="200"/>
      <c r="J89" s="201"/>
    </row>
    <row r="90" ht="12">
      <c r="C90" s="1"/>
    </row>
    <row r="91" ht="12">
      <c r="C91" s="1"/>
    </row>
    <row r="92" ht="12">
      <c r="C92" s="1"/>
    </row>
    <row r="93" ht="12">
      <c r="C93" s="1"/>
    </row>
    <row r="95" spans="1:2" ht="12">
      <c r="A95" s="11"/>
      <c r="B95" s="11"/>
    </row>
    <row r="96" spans="1:2" ht="12">
      <c r="A96" s="11"/>
      <c r="B96" s="11"/>
    </row>
    <row r="97" spans="1:2" ht="12">
      <c r="A97" s="11"/>
      <c r="B97" s="11"/>
    </row>
    <row r="98" spans="1:2" ht="12">
      <c r="A98" s="11"/>
      <c r="B98" s="11"/>
    </row>
    <row r="99" spans="1:2" ht="12">
      <c r="A99" s="11"/>
      <c r="B99" s="11"/>
    </row>
    <row r="100" spans="1:2" ht="12">
      <c r="A100" s="11"/>
      <c r="B100" s="11"/>
    </row>
    <row r="101" spans="1:2" ht="12">
      <c r="A101" s="11"/>
      <c r="B101" s="11"/>
    </row>
    <row r="102" spans="1:2" ht="12">
      <c r="A102" s="11"/>
      <c r="B102" s="11"/>
    </row>
    <row r="103" spans="1:2" ht="12">
      <c r="A103" s="11"/>
      <c r="B103" s="11"/>
    </row>
    <row r="104" spans="1:2" ht="12">
      <c r="A104" s="11"/>
      <c r="B104" s="11"/>
    </row>
    <row r="105" spans="1:2" ht="12">
      <c r="A105" s="11"/>
      <c r="B105" s="11"/>
    </row>
    <row r="106" ht="12">
      <c r="B106" s="11"/>
    </row>
    <row r="107" spans="1:2" ht="12">
      <c r="A107" s="11"/>
      <c r="B107" s="11"/>
    </row>
    <row r="108" spans="1:2" ht="12">
      <c r="A108" s="11"/>
      <c r="B108" s="11"/>
    </row>
    <row r="109" spans="1:2" ht="12">
      <c r="A109" s="11"/>
      <c r="B109" s="11"/>
    </row>
    <row r="110" spans="1:2" ht="12">
      <c r="A110" s="11"/>
      <c r="B110" s="11"/>
    </row>
    <row r="111" spans="1:2" ht="12">
      <c r="A111" s="11"/>
      <c r="B111" s="11"/>
    </row>
    <row r="112" spans="1:2" ht="12">
      <c r="A112" s="11"/>
      <c r="B112" s="11"/>
    </row>
    <row r="113" spans="1:2" ht="12">
      <c r="A113" s="11"/>
      <c r="B113" s="11"/>
    </row>
    <row r="114" spans="1:2" ht="12">
      <c r="A114" s="11"/>
      <c r="B114" s="11"/>
    </row>
    <row r="115" spans="1:2" ht="12">
      <c r="A115" s="11"/>
      <c r="B115" s="11"/>
    </row>
    <row r="116" spans="1:2" ht="12">
      <c r="A116" s="11"/>
      <c r="B116" s="11"/>
    </row>
    <row r="117" spans="1:2" ht="12">
      <c r="A117" s="1"/>
      <c r="B117" s="151"/>
    </row>
    <row r="118" spans="1:2" ht="12">
      <c r="A118" s="1"/>
      <c r="B118" s="151"/>
    </row>
    <row r="119" spans="1:2" ht="12">
      <c r="A119" s="1"/>
      <c r="B119" s="149"/>
    </row>
    <row r="120" spans="1:2" ht="12">
      <c r="A120" s="1"/>
      <c r="B120" s="149"/>
    </row>
    <row r="121" spans="1:2" ht="12">
      <c r="A121" s="1"/>
      <c r="B121" s="149"/>
    </row>
    <row r="122" spans="1:2" ht="12">
      <c r="A122" s="1"/>
      <c r="B122" s="149"/>
    </row>
    <row r="123" spans="1:2" ht="12">
      <c r="A123" s="1"/>
      <c r="B123" s="149"/>
    </row>
    <row r="124" spans="1:2" ht="12">
      <c r="A124" s="1"/>
      <c r="B124" s="149"/>
    </row>
    <row r="125" spans="1:2" ht="12">
      <c r="A125" s="1"/>
      <c r="B125" s="149"/>
    </row>
    <row r="126" spans="1:2" ht="12">
      <c r="A126" s="1"/>
      <c r="B126" s="149"/>
    </row>
    <row r="127" spans="1:2" ht="12">
      <c r="A127" s="12"/>
      <c r="B127" s="12"/>
    </row>
    <row r="128" spans="1:2" ht="12">
      <c r="A128" s="12"/>
      <c r="B128" s="12"/>
    </row>
    <row r="129" spans="1:2" ht="12">
      <c r="A129" s="12"/>
      <c r="B129" s="12"/>
    </row>
  </sheetData>
  <mergeCells count="8">
    <mergeCell ref="E72:H72"/>
    <mergeCell ref="E74:H74"/>
    <mergeCell ref="E7:H7"/>
    <mergeCell ref="E9:H9"/>
    <mergeCell ref="E18:H18"/>
    <mergeCell ref="E27:H27"/>
    <mergeCell ref="E37:H37"/>
    <mergeCell ref="E39:H39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30"/>
  <sheetViews>
    <sheetView showGridLines="0" tabSelected="1" zoomScale="130" zoomScaleNormal="130" workbookViewId="0" topLeftCell="A1">
      <selection activeCell="E13" sqref="E13"/>
    </sheetView>
  </sheetViews>
  <sheetFormatPr defaultColWidth="8.7109375" defaultRowHeight="12"/>
  <cols>
    <col min="1" max="1" width="8.140625" style="0" customWidth="1"/>
    <col min="2" max="2" width="1.1484375" style="0" customWidth="1"/>
    <col min="3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140625" style="0" customWidth="1"/>
    <col min="11" max="11" width="22.140625" style="0" hidden="1" customWidth="1"/>
    <col min="12" max="12" width="9.140625" style="0" customWidth="1"/>
    <col min="13" max="13" width="10.7109375" style="0" hidden="1" customWidth="1"/>
    <col min="14" max="14" width="9.140625" style="0" hidden="1" customWidth="1"/>
    <col min="15" max="20" width="14.140625" style="0" hidden="1" customWidth="1"/>
    <col min="21" max="21" width="16.140625" style="0" hidden="1" customWidth="1"/>
    <col min="22" max="22" width="12.140625" style="0" customWidth="1"/>
    <col min="23" max="23" width="16.1406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140625" style="0" customWidth="1"/>
    <col min="29" max="29" width="11.00390625" style="0" customWidth="1"/>
    <col min="30" max="30" width="15.00390625" style="0" customWidth="1"/>
    <col min="31" max="31" width="16.140625" style="0" customWidth="1"/>
    <col min="44" max="65" width="9.140625" style="0" hidden="1" customWidth="1"/>
  </cols>
  <sheetData>
    <row r="2" spans="10:46" ht="36.95" customHeight="1">
      <c r="J2" t="s">
        <v>315</v>
      </c>
      <c r="L2" s="257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4" t="s">
        <v>80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2:46" ht="24.95" customHeight="1">
      <c r="B4" s="17"/>
      <c r="D4" s="18" t="s">
        <v>81</v>
      </c>
      <c r="L4" s="17"/>
      <c r="M4" s="81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3" t="s">
        <v>13</v>
      </c>
      <c r="L6" s="17"/>
    </row>
    <row r="7" spans="2:12" ht="16.5" customHeight="1">
      <c r="B7" s="17"/>
      <c r="E7" s="254" t="str">
        <f>'Rekapitulace stavby'!K6</f>
        <v>Oprava gynekologicko-porodnické oddělení</v>
      </c>
      <c r="F7" s="255"/>
      <c r="G7" s="255"/>
      <c r="H7" s="255"/>
      <c r="L7" s="17"/>
    </row>
    <row r="8" spans="2:12" s="1" customFormat="1" ht="12" customHeight="1">
      <c r="B8" s="26"/>
      <c r="D8" s="23" t="s">
        <v>82</v>
      </c>
      <c r="L8" s="26"/>
    </row>
    <row r="9" spans="2:12" s="1" customFormat="1" ht="16.5" customHeight="1">
      <c r="B9" s="26"/>
      <c r="E9" s="245" t="s">
        <v>79</v>
      </c>
      <c r="F9" s="256"/>
      <c r="G9" s="256"/>
      <c r="H9" s="256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14</v>
      </c>
      <c r="F11" s="21" t="s">
        <v>1</v>
      </c>
      <c r="I11" s="23" t="s">
        <v>15</v>
      </c>
      <c r="J11" s="21" t="s">
        <v>1</v>
      </c>
      <c r="L11" s="26"/>
    </row>
    <row r="12" spans="2:12" s="1" customFormat="1" ht="12" customHeight="1">
      <c r="B12" s="26"/>
      <c r="D12" s="23" t="s">
        <v>16</v>
      </c>
      <c r="F12" s="21" t="s">
        <v>17</v>
      </c>
      <c r="I12" s="23" t="s">
        <v>18</v>
      </c>
      <c r="J12" s="46">
        <f>'Rekapitulace stavby'!AN8</f>
        <v>45194</v>
      </c>
      <c r="L12" s="26"/>
    </row>
    <row r="13" spans="2:12" s="1" customFormat="1" ht="11.1" customHeight="1">
      <c r="B13" s="26"/>
      <c r="L13" s="26"/>
    </row>
    <row r="14" spans="2:12" s="1" customFormat="1" ht="12" customHeight="1">
      <c r="B14" s="26"/>
      <c r="D14" s="23" t="s">
        <v>19</v>
      </c>
      <c r="I14" s="23" t="s">
        <v>20</v>
      </c>
      <c r="J14" s="21" t="str">
        <f>IF('Rekapitulace stavby'!AN10="","",'Rekapitulace stavby'!AN10)</f>
        <v/>
      </c>
      <c r="L14" s="26"/>
    </row>
    <row r="15" spans="2:12" s="1" customFormat="1" ht="18" customHeight="1">
      <c r="B15" s="26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22</v>
      </c>
      <c r="I17" s="23" t="s">
        <v>20</v>
      </c>
      <c r="J17" s="21" t="str">
        <f>'Rekapitulace stavby'!AN13</f>
        <v/>
      </c>
      <c r="L17" s="26"/>
    </row>
    <row r="18" spans="2:12" s="1" customFormat="1" ht="18" customHeight="1">
      <c r="B18" s="26"/>
      <c r="E18" s="235" t="str">
        <f>'Rekapitulace stavby'!E14</f>
        <v xml:space="preserve"> </v>
      </c>
      <c r="F18" s="235"/>
      <c r="G18" s="235"/>
      <c r="H18" s="235"/>
      <c r="I18" s="23" t="s">
        <v>21</v>
      </c>
      <c r="J18" s="21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23</v>
      </c>
      <c r="I20" s="23" t="s">
        <v>20</v>
      </c>
      <c r="J20" s="21" t="s">
        <v>1</v>
      </c>
      <c r="L20" s="26"/>
    </row>
    <row r="21" spans="2:12" s="1" customFormat="1" ht="18" customHeight="1">
      <c r="B21" s="26"/>
      <c r="E21" s="21" t="s">
        <v>24</v>
      </c>
      <c r="I21" s="23" t="s">
        <v>21</v>
      </c>
      <c r="J21" s="21" t="s">
        <v>1</v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20</v>
      </c>
      <c r="J23" s="21" t="str">
        <f>IF('Rekapitulace stavby'!AN19="","",'Rekapitulace stavby'!AN19)</f>
        <v/>
      </c>
      <c r="L23" s="26"/>
    </row>
    <row r="24" spans="2:12" s="1" customFormat="1" ht="18" customHeight="1">
      <c r="B24" s="26"/>
      <c r="E24" s="21" t="str">
        <f>IF('Rekapitulace stavby'!E20="","",'Rekapitulace stavby'!E20)</f>
        <v xml:space="preserve"> </v>
      </c>
      <c r="I24" s="23" t="s">
        <v>21</v>
      </c>
      <c r="J24" s="21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7" customFormat="1" ht="16.5" customHeight="1">
      <c r="B27" s="82"/>
      <c r="E27" s="238" t="s">
        <v>1</v>
      </c>
      <c r="F27" s="238"/>
      <c r="G27" s="238"/>
      <c r="H27" s="238"/>
      <c r="L27" s="82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>
      <c r="B30" s="26"/>
      <c r="D30" s="83" t="s">
        <v>29</v>
      </c>
      <c r="J30" s="59">
        <f>ROUND(J117,2)</f>
        <v>0</v>
      </c>
      <c r="L30" s="26"/>
    </row>
    <row r="31" spans="2:12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14.45" customHeight="1">
      <c r="B32" s="26"/>
      <c r="F32" s="29" t="s">
        <v>31</v>
      </c>
      <c r="I32" s="29" t="s">
        <v>30</v>
      </c>
      <c r="J32" s="29" t="s">
        <v>32</v>
      </c>
      <c r="L32" s="26"/>
    </row>
    <row r="33" spans="2:12" s="1" customFormat="1" ht="14.45" customHeight="1">
      <c r="B33" s="26"/>
      <c r="D33" s="84" t="s">
        <v>33</v>
      </c>
      <c r="E33" s="23" t="s">
        <v>34</v>
      </c>
      <c r="F33" s="85">
        <f>ROUND((SUM(BE117:BE125)),2)</f>
        <v>0</v>
      </c>
      <c r="I33" s="86">
        <v>0.21</v>
      </c>
      <c r="J33" s="85">
        <f>ROUND(((SUM(BE117:BE125))*I33),2)</f>
        <v>0</v>
      </c>
      <c r="L33" s="26"/>
    </row>
    <row r="34" spans="2:12" s="1" customFormat="1" ht="14.45" customHeight="1">
      <c r="B34" s="26"/>
      <c r="E34" s="23" t="s">
        <v>35</v>
      </c>
      <c r="F34" s="85">
        <f>ROUND((SUM(BF117:BF125)),2)</f>
        <v>0</v>
      </c>
      <c r="I34" s="86">
        <v>0.15</v>
      </c>
      <c r="J34" s="85">
        <f>ROUND(((SUM(BF117:BF125))*I34),2)</f>
        <v>0</v>
      </c>
      <c r="L34" s="26"/>
    </row>
    <row r="35" spans="2:12" s="1" customFormat="1" ht="14.45" customHeight="1" hidden="1">
      <c r="B35" s="26"/>
      <c r="E35" s="23" t="s">
        <v>36</v>
      </c>
      <c r="F35" s="85">
        <f>ROUND((SUM(BG117:BG125)),2)</f>
        <v>0</v>
      </c>
      <c r="I35" s="86">
        <v>0.21</v>
      </c>
      <c r="J35" s="85">
        <f>0</f>
        <v>0</v>
      </c>
      <c r="L35" s="26"/>
    </row>
    <row r="36" spans="2:12" s="1" customFormat="1" ht="14.45" customHeight="1" hidden="1">
      <c r="B36" s="26"/>
      <c r="E36" s="23" t="s">
        <v>37</v>
      </c>
      <c r="F36" s="85">
        <f>ROUND((SUM(BH117:BH125)),2)</f>
        <v>0</v>
      </c>
      <c r="I36" s="86">
        <v>0.15</v>
      </c>
      <c r="J36" s="85">
        <f>0</f>
        <v>0</v>
      </c>
      <c r="L36" s="26"/>
    </row>
    <row r="37" spans="2:12" s="1" customFormat="1" ht="14.45" customHeight="1" hidden="1">
      <c r="B37" s="26"/>
      <c r="E37" s="23" t="s">
        <v>38</v>
      </c>
      <c r="F37" s="85">
        <f>ROUND((SUM(BI117:BI125)),2)</f>
        <v>0</v>
      </c>
      <c r="I37" s="86">
        <v>0</v>
      </c>
      <c r="J37" s="85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7"/>
      <c r="D39" s="88" t="s">
        <v>39</v>
      </c>
      <c r="E39" s="50"/>
      <c r="F39" s="50"/>
      <c r="G39" s="89" t="s">
        <v>40</v>
      </c>
      <c r="H39" s="90" t="s">
        <v>41</v>
      </c>
      <c r="I39" s="50"/>
      <c r="J39" s="91">
        <f>SUM(J30:J37)</f>
        <v>0</v>
      </c>
      <c r="K39" s="92"/>
      <c r="L39" s="26"/>
    </row>
    <row r="40" spans="2:12" s="1" customFormat="1" ht="14.45" customHeight="1">
      <c r="B40" s="26"/>
      <c r="L40" s="26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6"/>
      <c r="D50" s="35" t="s">
        <v>42</v>
      </c>
      <c r="E50" s="36"/>
      <c r="F50" s="36"/>
      <c r="G50" s="35" t="s">
        <v>43</v>
      </c>
      <c r="H50" s="36"/>
      <c r="I50" s="36"/>
      <c r="J50" s="36"/>
      <c r="K50" s="36"/>
      <c r="L50" s="2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6"/>
      <c r="D61" s="37" t="s">
        <v>44</v>
      </c>
      <c r="E61" s="28"/>
      <c r="F61" s="93" t="s">
        <v>45</v>
      </c>
      <c r="G61" s="37" t="s">
        <v>44</v>
      </c>
      <c r="H61" s="28"/>
      <c r="I61" s="28"/>
      <c r="J61" s="94" t="s">
        <v>45</v>
      </c>
      <c r="K61" s="28"/>
      <c r="L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6"/>
      <c r="D65" s="35" t="s">
        <v>46</v>
      </c>
      <c r="E65" s="36"/>
      <c r="F65" s="36"/>
      <c r="G65" s="35" t="s">
        <v>47</v>
      </c>
      <c r="H65" s="36"/>
      <c r="I65" s="36"/>
      <c r="J65" s="36"/>
      <c r="K65" s="36"/>
      <c r="L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6"/>
      <c r="D76" s="37" t="s">
        <v>44</v>
      </c>
      <c r="E76" s="28"/>
      <c r="F76" s="93" t="s">
        <v>45</v>
      </c>
      <c r="G76" s="37" t="s">
        <v>44</v>
      </c>
      <c r="H76" s="28"/>
      <c r="I76" s="28"/>
      <c r="J76" s="94" t="s">
        <v>45</v>
      </c>
      <c r="K76" s="28"/>
      <c r="L76" s="26"/>
    </row>
    <row r="77" spans="2:12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12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12" s="1" customFormat="1" ht="24.95" customHeight="1">
      <c r="B82" s="26"/>
      <c r="C82" s="18" t="s">
        <v>83</v>
      </c>
      <c r="L82" s="26"/>
    </row>
    <row r="83" spans="2:12" s="1" customFormat="1" ht="6.95" customHeight="1">
      <c r="B83" s="26"/>
      <c r="L83" s="26"/>
    </row>
    <row r="84" spans="2:12" s="1" customFormat="1" ht="12" customHeight="1">
      <c r="B84" s="26"/>
      <c r="C84" s="23" t="s">
        <v>13</v>
      </c>
      <c r="L84" s="26"/>
    </row>
    <row r="85" spans="2:12" s="1" customFormat="1" ht="16.5" customHeight="1">
      <c r="B85" s="26"/>
      <c r="E85" s="254" t="str">
        <f>E7</f>
        <v>Oprava gynekologicko-porodnické oddělení</v>
      </c>
      <c r="F85" s="255"/>
      <c r="G85" s="255"/>
      <c r="H85" s="255"/>
      <c r="L85" s="26"/>
    </row>
    <row r="86" spans="2:12" s="1" customFormat="1" ht="12" customHeight="1">
      <c r="B86" s="26"/>
      <c r="C86" s="23" t="s">
        <v>82</v>
      </c>
      <c r="L86" s="26"/>
    </row>
    <row r="87" spans="2:12" s="1" customFormat="1" ht="16.5" customHeight="1">
      <c r="B87" s="26"/>
      <c r="E87" s="245" t="str">
        <f>E9</f>
        <v>Vedlejší a ostatní náklady</v>
      </c>
      <c r="F87" s="256"/>
      <c r="G87" s="256"/>
      <c r="H87" s="256"/>
      <c r="L87" s="26"/>
    </row>
    <row r="88" spans="2:12" s="1" customFormat="1" ht="6.95" customHeight="1">
      <c r="B88" s="26"/>
      <c r="L88" s="26"/>
    </row>
    <row r="89" spans="2:12" s="1" customFormat="1" ht="12" customHeight="1">
      <c r="B89" s="26"/>
      <c r="C89" s="23" t="s">
        <v>16</v>
      </c>
      <c r="F89" s="21" t="str">
        <f>F12</f>
        <v xml:space="preserve"> </v>
      </c>
      <c r="I89" s="23" t="s">
        <v>18</v>
      </c>
      <c r="J89" s="46">
        <f>IF(J12="","",J12)</f>
        <v>45194</v>
      </c>
      <c r="L89" s="26"/>
    </row>
    <row r="90" spans="2:12" s="1" customFormat="1" ht="6.95" customHeight="1">
      <c r="B90" s="26"/>
      <c r="L90" s="26"/>
    </row>
    <row r="91" spans="2:12" s="1" customFormat="1" ht="15.2" customHeight="1">
      <c r="B91" s="26"/>
      <c r="C91" s="23" t="s">
        <v>19</v>
      </c>
      <c r="F91" s="21" t="str">
        <f>E15</f>
        <v xml:space="preserve"> </v>
      </c>
      <c r="I91" s="23" t="s">
        <v>23</v>
      </c>
      <c r="J91" s="24" t="str">
        <f>E21</f>
        <v>Ing. Arch. Jan Ságl</v>
      </c>
      <c r="L91" s="26"/>
    </row>
    <row r="92" spans="2:12" s="1" customFormat="1" ht="15.2" customHeight="1">
      <c r="B92" s="26"/>
      <c r="C92" s="23" t="s">
        <v>22</v>
      </c>
      <c r="F92" s="21" t="str">
        <f>IF(E18="","",E18)</f>
        <v xml:space="preserve"> </v>
      </c>
      <c r="I92" s="23" t="s">
        <v>26</v>
      </c>
      <c r="J92" s="24" t="str">
        <f>E24</f>
        <v xml:space="preserve"> </v>
      </c>
      <c r="L92" s="26"/>
    </row>
    <row r="93" spans="2:12" s="1" customFormat="1" ht="10.35" customHeight="1">
      <c r="B93" s="26"/>
      <c r="L93" s="26"/>
    </row>
    <row r="94" spans="2:12" s="1" customFormat="1" ht="29.25" customHeight="1">
      <c r="B94" s="26"/>
      <c r="C94" s="95" t="s">
        <v>84</v>
      </c>
      <c r="D94" s="87"/>
      <c r="E94" s="87"/>
      <c r="F94" s="87"/>
      <c r="G94" s="87"/>
      <c r="H94" s="87"/>
      <c r="I94" s="87"/>
      <c r="J94" s="96" t="s">
        <v>85</v>
      </c>
      <c r="K94" s="87"/>
      <c r="L94" s="26"/>
    </row>
    <row r="95" spans="2:12" s="1" customFormat="1" ht="10.35" customHeight="1">
      <c r="B95" s="26"/>
      <c r="L95" s="26"/>
    </row>
    <row r="96" spans="2:47" s="1" customFormat="1" ht="23.1" customHeight="1">
      <c r="B96" s="26"/>
      <c r="C96" s="97" t="s">
        <v>86</v>
      </c>
      <c r="J96" s="59">
        <f>J117</f>
        <v>0</v>
      </c>
      <c r="L96" s="26"/>
      <c r="AU96" s="14" t="s">
        <v>87</v>
      </c>
    </row>
    <row r="97" spans="2:12" s="8" customFormat="1" ht="24.95" customHeight="1">
      <c r="B97" s="98"/>
      <c r="D97" s="99" t="s">
        <v>112</v>
      </c>
      <c r="E97" s="100"/>
      <c r="F97" s="100"/>
      <c r="G97" s="100"/>
      <c r="H97" s="100"/>
      <c r="I97" s="100"/>
      <c r="J97" s="101">
        <f>J118</f>
        <v>0</v>
      </c>
      <c r="L97" s="98"/>
    </row>
    <row r="98" spans="2:12" s="1" customFormat="1" ht="21.75" customHeight="1">
      <c r="B98" s="26"/>
      <c r="L98" s="26"/>
    </row>
    <row r="99" spans="2:12" s="1" customFormat="1" ht="6.95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26"/>
    </row>
    <row r="103" spans="2:12" s="1" customFormat="1" ht="6.9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6"/>
    </row>
    <row r="104" spans="2:12" s="1" customFormat="1" ht="24.95" customHeight="1">
      <c r="B104" s="26"/>
      <c r="C104" s="18" t="s">
        <v>88</v>
      </c>
      <c r="L104" s="26"/>
    </row>
    <row r="105" spans="2:12" s="1" customFormat="1" ht="6.95" customHeight="1">
      <c r="B105" s="26"/>
      <c r="L105" s="26"/>
    </row>
    <row r="106" spans="2:12" s="1" customFormat="1" ht="12" customHeight="1">
      <c r="B106" s="26"/>
      <c r="C106" s="23" t="s">
        <v>13</v>
      </c>
      <c r="L106" s="26"/>
    </row>
    <row r="107" spans="2:12" s="1" customFormat="1" ht="16.5" customHeight="1">
      <c r="B107" s="26"/>
      <c r="E107" s="254" t="str">
        <f>E7</f>
        <v>Oprava gynekologicko-porodnické oddělení</v>
      </c>
      <c r="F107" s="255"/>
      <c r="G107" s="255"/>
      <c r="H107" s="255"/>
      <c r="L107" s="26"/>
    </row>
    <row r="108" spans="2:12" s="1" customFormat="1" ht="12" customHeight="1">
      <c r="B108" s="26"/>
      <c r="C108" s="23" t="s">
        <v>82</v>
      </c>
      <c r="L108" s="26"/>
    </row>
    <row r="109" spans="2:12" s="1" customFormat="1" ht="16.5" customHeight="1">
      <c r="B109" s="26"/>
      <c r="E109" s="245" t="str">
        <f>E9</f>
        <v>Vedlejší a ostatní náklady</v>
      </c>
      <c r="F109" s="256"/>
      <c r="G109" s="256"/>
      <c r="H109" s="256"/>
      <c r="L109" s="26"/>
    </row>
    <row r="110" spans="2:12" s="1" customFormat="1" ht="6.95" customHeight="1">
      <c r="B110" s="26"/>
      <c r="L110" s="26"/>
    </row>
    <row r="111" spans="2:12" s="1" customFormat="1" ht="12" customHeight="1">
      <c r="B111" s="26"/>
      <c r="C111" s="23" t="s">
        <v>16</v>
      </c>
      <c r="F111" s="21" t="str">
        <f>F12</f>
        <v xml:space="preserve"> </v>
      </c>
      <c r="I111" s="23" t="s">
        <v>18</v>
      </c>
      <c r="J111" s="46">
        <f>IF(J12="","",J12)</f>
        <v>45194</v>
      </c>
      <c r="L111" s="26"/>
    </row>
    <row r="112" spans="2:12" s="1" customFormat="1" ht="6.95" customHeight="1">
      <c r="B112" s="26"/>
      <c r="L112" s="26"/>
    </row>
    <row r="113" spans="2:12" s="1" customFormat="1" ht="15.2" customHeight="1">
      <c r="B113" s="26"/>
      <c r="C113" s="23" t="s">
        <v>19</v>
      </c>
      <c r="F113" s="21" t="str">
        <f>E15</f>
        <v xml:space="preserve"> </v>
      </c>
      <c r="I113" s="23" t="s">
        <v>23</v>
      </c>
      <c r="J113" s="24" t="str">
        <f>E21</f>
        <v>Ing. Arch. Jan Ságl</v>
      </c>
      <c r="L113" s="26"/>
    </row>
    <row r="114" spans="2:12" s="1" customFormat="1" ht="15.2" customHeight="1">
      <c r="B114" s="26"/>
      <c r="C114" s="23" t="s">
        <v>22</v>
      </c>
      <c r="F114" s="21" t="str">
        <f>IF(E18="","",E18)</f>
        <v xml:space="preserve"> </v>
      </c>
      <c r="I114" s="23" t="s">
        <v>26</v>
      </c>
      <c r="J114" s="24" t="str">
        <f>E24</f>
        <v xml:space="preserve"> </v>
      </c>
      <c r="L114" s="26"/>
    </row>
    <row r="115" spans="2:12" s="1" customFormat="1" ht="10.35" customHeight="1">
      <c r="B115" s="26"/>
      <c r="L115" s="26"/>
    </row>
    <row r="116" spans="2:20" s="10" customFormat="1" ht="29.25" customHeight="1">
      <c r="B116" s="102"/>
      <c r="C116" s="103" t="s">
        <v>89</v>
      </c>
      <c r="D116" s="104" t="s">
        <v>54</v>
      </c>
      <c r="E116" s="104" t="s">
        <v>50</v>
      </c>
      <c r="F116" s="104" t="s">
        <v>51</v>
      </c>
      <c r="G116" s="104" t="s">
        <v>90</v>
      </c>
      <c r="H116" s="104" t="s">
        <v>91</v>
      </c>
      <c r="I116" s="104" t="s">
        <v>92</v>
      </c>
      <c r="J116" s="105" t="s">
        <v>85</v>
      </c>
      <c r="K116" s="106" t="s">
        <v>93</v>
      </c>
      <c r="L116" s="102"/>
      <c r="M116" s="52" t="s">
        <v>1</v>
      </c>
      <c r="N116" s="53" t="s">
        <v>33</v>
      </c>
      <c r="O116" s="53" t="s">
        <v>94</v>
      </c>
      <c r="P116" s="53" t="s">
        <v>95</v>
      </c>
      <c r="Q116" s="53" t="s">
        <v>96</v>
      </c>
      <c r="R116" s="53" t="s">
        <v>97</v>
      </c>
      <c r="S116" s="53" t="s">
        <v>98</v>
      </c>
      <c r="T116" s="54" t="s">
        <v>99</v>
      </c>
    </row>
    <row r="117" spans="2:63" s="1" customFormat="1" ht="23.1" customHeight="1">
      <c r="B117" s="26"/>
      <c r="C117" s="57" t="s">
        <v>100</v>
      </c>
      <c r="J117" s="107">
        <f>J118</f>
        <v>0</v>
      </c>
      <c r="L117" s="26"/>
      <c r="M117" s="55"/>
      <c r="N117" s="47"/>
      <c r="O117" s="47"/>
      <c r="P117" s="108" t="e">
        <f>P118</f>
        <v>#REF!</v>
      </c>
      <c r="Q117" s="47"/>
      <c r="R117" s="108" t="e">
        <f>R118</f>
        <v>#REF!</v>
      </c>
      <c r="S117" s="47"/>
      <c r="T117" s="109" t="e">
        <f>T118</f>
        <v>#REF!</v>
      </c>
      <c r="AT117" s="14" t="s">
        <v>68</v>
      </c>
      <c r="AU117" s="14" t="s">
        <v>87</v>
      </c>
      <c r="BK117" s="110" t="e">
        <f>BK118</f>
        <v>#REF!</v>
      </c>
    </row>
    <row r="118" spans="2:63" s="11" customFormat="1" ht="26.1" customHeight="1">
      <c r="B118" s="111"/>
      <c r="D118" s="112" t="s">
        <v>68</v>
      </c>
      <c r="E118" s="113" t="s">
        <v>113</v>
      </c>
      <c r="F118" s="113" t="s">
        <v>114</v>
      </c>
      <c r="J118" s="114">
        <f>J119+J121+J123+J127</f>
        <v>0</v>
      </c>
      <c r="L118" s="111"/>
      <c r="M118" s="115"/>
      <c r="P118" s="116" t="e">
        <f>P119+P121+P123+#REF!</f>
        <v>#REF!</v>
      </c>
      <c r="R118" s="116" t="e">
        <f>R119+R121+R123+#REF!</f>
        <v>#REF!</v>
      </c>
      <c r="T118" s="117" t="e">
        <f>T119+T121+T123+#REF!</f>
        <v>#REF!</v>
      </c>
      <c r="AR118" s="112" t="s">
        <v>107</v>
      </c>
      <c r="AT118" s="118" t="s">
        <v>68</v>
      </c>
      <c r="AU118" s="118" t="s">
        <v>69</v>
      </c>
      <c r="AY118" s="112" t="s">
        <v>101</v>
      </c>
      <c r="BK118" s="119" t="e">
        <f>BK119+BK121+BK123+#REF!</f>
        <v>#REF!</v>
      </c>
    </row>
    <row r="119" spans="2:63" s="11" customFormat="1" ht="23.1" customHeight="1">
      <c r="B119" s="111"/>
      <c r="D119" s="112" t="s">
        <v>68</v>
      </c>
      <c r="E119" s="120" t="s">
        <v>115</v>
      </c>
      <c r="F119" s="120" t="s">
        <v>116</v>
      </c>
      <c r="J119" s="121">
        <f>BK119</f>
        <v>0</v>
      </c>
      <c r="L119" s="111"/>
      <c r="M119" s="115"/>
      <c r="P119" s="116">
        <f>P120</f>
        <v>0</v>
      </c>
      <c r="R119" s="116">
        <f>R120</f>
        <v>0</v>
      </c>
      <c r="T119" s="117">
        <f>T120</f>
        <v>0</v>
      </c>
      <c r="AR119" s="112" t="s">
        <v>107</v>
      </c>
      <c r="AT119" s="118" t="s">
        <v>68</v>
      </c>
      <c r="AU119" s="118" t="s">
        <v>75</v>
      </c>
      <c r="AY119" s="112" t="s">
        <v>101</v>
      </c>
      <c r="BK119" s="119">
        <f>BK120</f>
        <v>0</v>
      </c>
    </row>
    <row r="120" spans="2:65" s="1" customFormat="1" ht="16.5" customHeight="1">
      <c r="B120" s="122"/>
      <c r="C120" s="123" t="s">
        <v>75</v>
      </c>
      <c r="D120" s="123" t="s">
        <v>103</v>
      </c>
      <c r="E120" s="124" t="s">
        <v>117</v>
      </c>
      <c r="F120" s="125" t="s">
        <v>118</v>
      </c>
      <c r="G120" s="126" t="s">
        <v>109</v>
      </c>
      <c r="H120" s="127">
        <v>1</v>
      </c>
      <c r="I120" s="128">
        <v>0</v>
      </c>
      <c r="J120" s="128">
        <f>I120</f>
        <v>0</v>
      </c>
      <c r="K120" s="129"/>
      <c r="L120" s="26"/>
      <c r="M120" s="130" t="s">
        <v>1</v>
      </c>
      <c r="N120" s="131" t="s">
        <v>34</v>
      </c>
      <c r="O120" s="132">
        <v>0</v>
      </c>
      <c r="P120" s="132">
        <f>O120*H120</f>
        <v>0</v>
      </c>
      <c r="Q120" s="132">
        <v>0</v>
      </c>
      <c r="R120" s="132">
        <f>Q120*H120</f>
        <v>0</v>
      </c>
      <c r="S120" s="132">
        <v>0</v>
      </c>
      <c r="T120" s="133">
        <f>S120*H120</f>
        <v>0</v>
      </c>
      <c r="AR120" s="134" t="s">
        <v>119</v>
      </c>
      <c r="AT120" s="134" t="s">
        <v>103</v>
      </c>
      <c r="AU120" s="134" t="s">
        <v>77</v>
      </c>
      <c r="AY120" s="14" t="s">
        <v>101</v>
      </c>
      <c r="BE120" s="135">
        <f>IF(N120="základní",J120,0)</f>
        <v>0</v>
      </c>
      <c r="BF120" s="135">
        <f>IF(N120="snížená",J120,0)</f>
        <v>0</v>
      </c>
      <c r="BG120" s="135">
        <f>IF(N120="zákl. přenesená",J120,0)</f>
        <v>0</v>
      </c>
      <c r="BH120" s="135">
        <f>IF(N120="sníž. přenesená",J120,0)</f>
        <v>0</v>
      </c>
      <c r="BI120" s="135">
        <f>IF(N120="nulová",J120,0)</f>
        <v>0</v>
      </c>
      <c r="BJ120" s="14" t="s">
        <v>75</v>
      </c>
      <c r="BK120" s="135">
        <f>ROUND(I120*H120,2)</f>
        <v>0</v>
      </c>
      <c r="BL120" s="14" t="s">
        <v>119</v>
      </c>
      <c r="BM120" s="134" t="s">
        <v>120</v>
      </c>
    </row>
    <row r="121" spans="2:63" s="11" customFormat="1" ht="23.1" customHeight="1">
      <c r="B121" s="111"/>
      <c r="D121" s="112" t="s">
        <v>68</v>
      </c>
      <c r="E121" s="120" t="s">
        <v>121</v>
      </c>
      <c r="F121" s="120" t="s">
        <v>122</v>
      </c>
      <c r="J121" s="121">
        <f>J122</f>
        <v>0</v>
      </c>
      <c r="L121" s="111"/>
      <c r="M121" s="115"/>
      <c r="P121" s="116">
        <f>P122</f>
        <v>0</v>
      </c>
      <c r="R121" s="116">
        <f>R122</f>
        <v>0</v>
      </c>
      <c r="T121" s="117">
        <f>T122</f>
        <v>0</v>
      </c>
      <c r="AR121" s="112" t="s">
        <v>107</v>
      </c>
      <c r="AT121" s="118" t="s">
        <v>68</v>
      </c>
      <c r="AU121" s="118" t="s">
        <v>75</v>
      </c>
      <c r="AY121" s="112" t="s">
        <v>101</v>
      </c>
      <c r="BK121" s="119">
        <f>BK122</f>
        <v>0</v>
      </c>
    </row>
    <row r="122" spans="2:65" s="1" customFormat="1" ht="16.5" customHeight="1">
      <c r="B122" s="122"/>
      <c r="C122" s="123" t="s">
        <v>77</v>
      </c>
      <c r="D122" s="123" t="s">
        <v>103</v>
      </c>
      <c r="E122" s="124" t="s">
        <v>123</v>
      </c>
      <c r="F122" s="125" t="s">
        <v>122</v>
      </c>
      <c r="G122" s="126" t="s">
        <v>109</v>
      </c>
      <c r="H122" s="127">
        <v>1</v>
      </c>
      <c r="I122" s="128">
        <v>0</v>
      </c>
      <c r="J122" s="128">
        <f>I122</f>
        <v>0</v>
      </c>
      <c r="K122" s="129"/>
      <c r="L122" s="26"/>
      <c r="M122" s="130" t="s">
        <v>1</v>
      </c>
      <c r="N122" s="131" t="s">
        <v>34</v>
      </c>
      <c r="O122" s="132">
        <v>0</v>
      </c>
      <c r="P122" s="132">
        <f>O122*H122</f>
        <v>0</v>
      </c>
      <c r="Q122" s="132">
        <v>0</v>
      </c>
      <c r="R122" s="132">
        <f>Q122*H122</f>
        <v>0</v>
      </c>
      <c r="S122" s="132">
        <v>0</v>
      </c>
      <c r="T122" s="133">
        <f>S122*H122</f>
        <v>0</v>
      </c>
      <c r="AR122" s="134" t="s">
        <v>119</v>
      </c>
      <c r="AT122" s="134" t="s">
        <v>103</v>
      </c>
      <c r="AU122" s="134" t="s">
        <v>77</v>
      </c>
      <c r="AY122" s="14" t="s">
        <v>101</v>
      </c>
      <c r="BE122" s="135">
        <f>IF(N122="základní",J122,0)</f>
        <v>0</v>
      </c>
      <c r="BF122" s="135">
        <f>IF(N122="snížená",J122,0)</f>
        <v>0</v>
      </c>
      <c r="BG122" s="135">
        <f>IF(N122="zákl. přenesená",J122,0)</f>
        <v>0</v>
      </c>
      <c r="BH122" s="135">
        <f>IF(N122="sníž. přenesená",J122,0)</f>
        <v>0</v>
      </c>
      <c r="BI122" s="135">
        <f>IF(N122="nulová",J122,0)</f>
        <v>0</v>
      </c>
      <c r="BJ122" s="14" t="s">
        <v>75</v>
      </c>
      <c r="BK122" s="135">
        <f>ROUND(I122*H122,2)</f>
        <v>0</v>
      </c>
      <c r="BL122" s="14" t="s">
        <v>119</v>
      </c>
      <c r="BM122" s="134" t="s">
        <v>124</v>
      </c>
    </row>
    <row r="123" spans="2:63" s="11" customFormat="1" ht="23.1" customHeight="1">
      <c r="B123" s="111"/>
      <c r="D123" s="112" t="s">
        <v>68</v>
      </c>
      <c r="E123" s="120" t="s">
        <v>125</v>
      </c>
      <c r="F123" s="120" t="s">
        <v>126</v>
      </c>
      <c r="J123" s="121">
        <f>SUM(J124:J125)</f>
        <v>0</v>
      </c>
      <c r="L123" s="111"/>
      <c r="M123" s="115"/>
      <c r="P123" s="116">
        <f>SUM(P124:P125)</f>
        <v>0</v>
      </c>
      <c r="R123" s="116">
        <f>SUM(R124:R125)</f>
        <v>0</v>
      </c>
      <c r="T123" s="117">
        <f>SUM(T124:T125)</f>
        <v>0</v>
      </c>
      <c r="AR123" s="112" t="s">
        <v>107</v>
      </c>
      <c r="AT123" s="118" t="s">
        <v>68</v>
      </c>
      <c r="AU123" s="118" t="s">
        <v>75</v>
      </c>
      <c r="AY123" s="112" t="s">
        <v>101</v>
      </c>
      <c r="BK123" s="119">
        <f>SUM(BK124:BK125)</f>
        <v>0</v>
      </c>
    </row>
    <row r="124" spans="2:65" s="1" customFormat="1" ht="16.5" customHeight="1">
      <c r="B124" s="122"/>
      <c r="C124" s="123">
        <v>3</v>
      </c>
      <c r="D124" s="123" t="s">
        <v>103</v>
      </c>
      <c r="E124" s="124" t="s">
        <v>127</v>
      </c>
      <c r="F124" s="125" t="s">
        <v>131</v>
      </c>
      <c r="G124" s="126" t="s">
        <v>109</v>
      </c>
      <c r="H124" s="127">
        <v>1</v>
      </c>
      <c r="I124" s="128">
        <v>0</v>
      </c>
      <c r="J124" s="128">
        <f>I124*H124</f>
        <v>0</v>
      </c>
      <c r="K124" s="129"/>
      <c r="L124" s="26"/>
      <c r="M124" s="130"/>
      <c r="N124" s="131"/>
      <c r="O124" s="132"/>
      <c r="P124" s="132"/>
      <c r="Q124" s="132"/>
      <c r="R124" s="132"/>
      <c r="S124" s="132"/>
      <c r="T124" s="133"/>
      <c r="AR124" s="134"/>
      <c r="AT124" s="134"/>
      <c r="AU124" s="134"/>
      <c r="AY124" s="14"/>
      <c r="BE124" s="135"/>
      <c r="BF124" s="135"/>
      <c r="BG124" s="135"/>
      <c r="BH124" s="135"/>
      <c r="BI124" s="135"/>
      <c r="BJ124" s="14"/>
      <c r="BK124" s="135"/>
      <c r="BL124" s="14"/>
      <c r="BM124" s="134"/>
    </row>
    <row r="125" spans="2:65" s="1" customFormat="1" ht="16.5" customHeight="1">
      <c r="B125" s="122"/>
      <c r="C125" s="123" t="s">
        <v>105</v>
      </c>
      <c r="D125" s="123" t="s">
        <v>103</v>
      </c>
      <c r="E125" s="124" t="s">
        <v>128</v>
      </c>
      <c r="F125" s="125" t="s">
        <v>130</v>
      </c>
      <c r="G125" s="126" t="s">
        <v>109</v>
      </c>
      <c r="H125" s="127">
        <v>1</v>
      </c>
      <c r="I125" s="128">
        <v>0</v>
      </c>
      <c r="J125" s="128">
        <f>ROUND(I125*H125,2)</f>
        <v>0</v>
      </c>
      <c r="K125" s="129"/>
      <c r="L125" s="26"/>
      <c r="M125" s="130" t="s">
        <v>1</v>
      </c>
      <c r="N125" s="131" t="s">
        <v>34</v>
      </c>
      <c r="O125" s="132">
        <v>0</v>
      </c>
      <c r="P125" s="132">
        <f>O125*H125</f>
        <v>0</v>
      </c>
      <c r="Q125" s="132">
        <v>0</v>
      </c>
      <c r="R125" s="132">
        <f>Q125*H125</f>
        <v>0</v>
      </c>
      <c r="S125" s="132">
        <v>0</v>
      </c>
      <c r="T125" s="133">
        <f>S125*H125</f>
        <v>0</v>
      </c>
      <c r="AR125" s="134" t="s">
        <v>119</v>
      </c>
      <c r="AT125" s="134" t="s">
        <v>103</v>
      </c>
      <c r="AU125" s="134" t="s">
        <v>77</v>
      </c>
      <c r="AY125" s="14" t="s">
        <v>101</v>
      </c>
      <c r="BE125" s="135">
        <f>IF(N125="základní",J125,0)</f>
        <v>0</v>
      </c>
      <c r="BF125" s="135">
        <f>IF(N125="snížená",J125,0)</f>
        <v>0</v>
      </c>
      <c r="BG125" s="135">
        <f>IF(N125="zákl. přenesená",J125,0)</f>
        <v>0</v>
      </c>
      <c r="BH125" s="135">
        <f>IF(N125="sníž. přenesená",J125,0)</f>
        <v>0</v>
      </c>
      <c r="BI125" s="135">
        <f>IF(N125="nulová",J125,0)</f>
        <v>0</v>
      </c>
      <c r="BJ125" s="14" t="s">
        <v>75</v>
      </c>
      <c r="BK125" s="135">
        <f>ROUND(I125*H125,2)</f>
        <v>0</v>
      </c>
      <c r="BL125" s="14" t="s">
        <v>119</v>
      </c>
      <c r="BM125" s="134" t="s">
        <v>129</v>
      </c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26"/>
    </row>
    <row r="127" spans="2:63" s="11" customFormat="1" ht="23.1" customHeight="1">
      <c r="B127" s="111"/>
      <c r="D127" s="112" t="s">
        <v>68</v>
      </c>
      <c r="E127" s="120" t="s">
        <v>301</v>
      </c>
      <c r="F127" s="120" t="s">
        <v>126</v>
      </c>
      <c r="J127" s="121">
        <f>SUM(J128:J130)</f>
        <v>0</v>
      </c>
      <c r="L127" s="111"/>
      <c r="M127" s="115"/>
      <c r="P127" s="116">
        <f>SUM(P128:P129)</f>
        <v>0</v>
      </c>
      <c r="R127" s="116">
        <f>SUM(R128:R129)</f>
        <v>0</v>
      </c>
      <c r="T127" s="117">
        <f>SUM(T128:T129)</f>
        <v>0</v>
      </c>
      <c r="AR127" s="112" t="s">
        <v>107</v>
      </c>
      <c r="AT127" s="118" t="s">
        <v>68</v>
      </c>
      <c r="AU127" s="118" t="s">
        <v>75</v>
      </c>
      <c r="AY127" s="112" t="s">
        <v>101</v>
      </c>
      <c r="BK127" s="119">
        <f>SUM(BK128:BK129)</f>
        <v>0</v>
      </c>
    </row>
    <row r="128" spans="2:65" s="1" customFormat="1" ht="16.5" customHeight="1">
      <c r="B128" s="122"/>
      <c r="C128" s="123">
        <v>5</v>
      </c>
      <c r="D128" s="123" t="s">
        <v>103</v>
      </c>
      <c r="E128" s="124"/>
      <c r="F128" s="125" t="s">
        <v>302</v>
      </c>
      <c r="G128" s="126" t="s">
        <v>111</v>
      </c>
      <c r="H128" s="127">
        <v>1</v>
      </c>
      <c r="I128" s="128">
        <v>0</v>
      </c>
      <c r="J128" s="128">
        <f>I128*H128</f>
        <v>0</v>
      </c>
      <c r="K128" s="129"/>
      <c r="L128" s="26"/>
      <c r="M128" s="130"/>
      <c r="N128" s="131"/>
      <c r="O128" s="132"/>
      <c r="P128" s="132"/>
      <c r="Q128" s="132"/>
      <c r="R128" s="132"/>
      <c r="S128" s="132"/>
      <c r="T128" s="133"/>
      <c r="AR128" s="134"/>
      <c r="AT128" s="134"/>
      <c r="AU128" s="134"/>
      <c r="AY128" s="14"/>
      <c r="BE128" s="135"/>
      <c r="BF128" s="135"/>
      <c r="BG128" s="135"/>
      <c r="BH128" s="135"/>
      <c r="BI128" s="135"/>
      <c r="BJ128" s="14"/>
      <c r="BK128" s="135"/>
      <c r="BL128" s="14"/>
      <c r="BM128" s="134"/>
    </row>
    <row r="129" spans="2:65" s="1" customFormat="1" ht="16.5" customHeight="1">
      <c r="B129" s="122"/>
      <c r="C129" s="123">
        <v>6</v>
      </c>
      <c r="D129" s="123" t="s">
        <v>103</v>
      </c>
      <c r="E129" s="124" t="s">
        <v>128</v>
      </c>
      <c r="F129" s="125" t="s">
        <v>304</v>
      </c>
      <c r="G129" s="126" t="s">
        <v>109</v>
      </c>
      <c r="H129" s="127">
        <v>2</v>
      </c>
      <c r="I129" s="128">
        <v>0</v>
      </c>
      <c r="J129" s="128">
        <f>ROUND(I129*H129,2)</f>
        <v>0</v>
      </c>
      <c r="K129" s="129"/>
      <c r="L129" s="26"/>
      <c r="M129" s="130" t="s">
        <v>1</v>
      </c>
      <c r="N129" s="131" t="s">
        <v>34</v>
      </c>
      <c r="O129" s="132">
        <v>0</v>
      </c>
      <c r="P129" s="132">
        <f>O129*H129</f>
        <v>0</v>
      </c>
      <c r="Q129" s="132">
        <v>0</v>
      </c>
      <c r="R129" s="132">
        <f>Q129*H129</f>
        <v>0</v>
      </c>
      <c r="S129" s="132">
        <v>0</v>
      </c>
      <c r="T129" s="133">
        <f>S129*H129</f>
        <v>0</v>
      </c>
      <c r="AR129" s="134" t="s">
        <v>119</v>
      </c>
      <c r="AT129" s="134" t="s">
        <v>103</v>
      </c>
      <c r="AU129" s="134" t="s">
        <v>77</v>
      </c>
      <c r="AY129" s="14" t="s">
        <v>101</v>
      </c>
      <c r="BE129" s="135">
        <f>IF(N129="základní",J129,0)</f>
        <v>0</v>
      </c>
      <c r="BF129" s="135">
        <f>IF(N129="snížená",J129,0)</f>
        <v>0</v>
      </c>
      <c r="BG129" s="135">
        <f>IF(N129="zákl. přenesená",J129,0)</f>
        <v>0</v>
      </c>
      <c r="BH129" s="135">
        <f>IF(N129="sníž. přenesená",J129,0)</f>
        <v>0</v>
      </c>
      <c r="BI129" s="135">
        <f>IF(N129="nulová",J129,0)</f>
        <v>0</v>
      </c>
      <c r="BJ129" s="14" t="s">
        <v>75</v>
      </c>
      <c r="BK129" s="135">
        <f>ROUND(I129*H129,2)</f>
        <v>0</v>
      </c>
      <c r="BL129" s="14" t="s">
        <v>119</v>
      </c>
      <c r="BM129" s="134" t="s">
        <v>129</v>
      </c>
    </row>
    <row r="130" spans="2:65" s="1" customFormat="1" ht="16.5" customHeight="1">
      <c r="B130" s="122"/>
      <c r="C130" s="123">
        <v>7</v>
      </c>
      <c r="D130" s="123" t="s">
        <v>103</v>
      </c>
      <c r="E130" s="124" t="s">
        <v>128</v>
      </c>
      <c r="F130" s="125" t="s">
        <v>303</v>
      </c>
      <c r="G130" s="126" t="s">
        <v>109</v>
      </c>
      <c r="H130" s="127">
        <v>1</v>
      </c>
      <c r="I130" s="128">
        <v>0</v>
      </c>
      <c r="J130" s="128">
        <f>ROUND(I130*H130,2)</f>
        <v>0</v>
      </c>
      <c r="K130" s="129"/>
      <c r="L130" s="26"/>
      <c r="M130" s="130" t="s">
        <v>1</v>
      </c>
      <c r="N130" s="131" t="s">
        <v>34</v>
      </c>
      <c r="O130" s="132">
        <v>0</v>
      </c>
      <c r="P130" s="132">
        <f>O130*H130</f>
        <v>0</v>
      </c>
      <c r="Q130" s="132">
        <v>0</v>
      </c>
      <c r="R130" s="132">
        <f>Q130*H130</f>
        <v>0</v>
      </c>
      <c r="S130" s="132">
        <v>0</v>
      </c>
      <c r="T130" s="133">
        <f>S130*H130</f>
        <v>0</v>
      </c>
      <c r="AR130" s="134" t="s">
        <v>119</v>
      </c>
      <c r="AT130" s="134" t="s">
        <v>103</v>
      </c>
      <c r="AU130" s="134" t="s">
        <v>77</v>
      </c>
      <c r="AY130" s="14" t="s">
        <v>101</v>
      </c>
      <c r="BE130" s="135">
        <f>IF(N130="základní",J130,0)</f>
        <v>0</v>
      </c>
      <c r="BF130" s="135">
        <f>IF(N130="snížená",J130,0)</f>
        <v>0</v>
      </c>
      <c r="BG130" s="135">
        <f>IF(N130="zákl. přenesená",J130,0)</f>
        <v>0</v>
      </c>
      <c r="BH130" s="135">
        <f>IF(N130="sníž. přenesená",J130,0)</f>
        <v>0</v>
      </c>
      <c r="BI130" s="135">
        <f>IF(N130="nulová",J130,0)</f>
        <v>0</v>
      </c>
      <c r="BJ130" s="14" t="s">
        <v>75</v>
      </c>
      <c r="BK130" s="135">
        <f>ROUND(I130*H130,2)</f>
        <v>0</v>
      </c>
      <c r="BL130" s="14" t="s">
        <v>119</v>
      </c>
      <c r="BM130" s="134" t="s">
        <v>129</v>
      </c>
    </row>
  </sheetData>
  <autoFilter ref="C116:K125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199"/>
  <sheetViews>
    <sheetView showGridLines="0" zoomScale="160" zoomScaleNormal="160" workbookViewId="0" topLeftCell="A199">
      <selection activeCell="F152" sqref="F152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6.140625" style="0" customWidth="1"/>
    <col min="4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140625" style="0" customWidth="1"/>
    <col min="11" max="11" width="22.140625" style="0" hidden="1" customWidth="1"/>
    <col min="12" max="12" width="22.140625" style="0" customWidth="1"/>
    <col min="13" max="13" width="10.7109375" style="0" hidden="1" customWidth="1"/>
    <col min="14" max="19" width="14.140625" style="0" hidden="1" customWidth="1"/>
    <col min="20" max="20" width="16.140625" style="0" hidden="1" customWidth="1"/>
    <col min="23" max="23" width="19.8515625" style="0" customWidth="1"/>
    <col min="25" max="25" width="12.421875" style="0" customWidth="1"/>
  </cols>
  <sheetData>
    <row r="2" spans="12:20" ht="36.95" customHeight="1" thickBot="1">
      <c r="L2" s="257" t="s">
        <v>5</v>
      </c>
      <c r="M2" s="257"/>
      <c r="N2" s="257"/>
      <c r="O2" s="257"/>
      <c r="P2" s="257"/>
      <c r="Q2" s="257"/>
      <c r="R2" s="257"/>
      <c r="S2" s="257"/>
      <c r="T2" s="257"/>
    </row>
    <row r="3" spans="2:12" ht="6.95" customHeight="1">
      <c r="B3" s="204"/>
      <c r="C3" s="205"/>
      <c r="D3" s="205"/>
      <c r="E3" s="205"/>
      <c r="F3" s="205"/>
      <c r="G3" s="205"/>
      <c r="H3" s="205"/>
      <c r="I3" s="205"/>
      <c r="J3" s="206"/>
      <c r="K3" s="16"/>
      <c r="L3" s="17"/>
    </row>
    <row r="4" spans="2:13" ht="24.95" customHeight="1">
      <c r="B4" s="166"/>
      <c r="D4" s="18" t="s">
        <v>81</v>
      </c>
      <c r="J4" s="167"/>
      <c r="L4" s="17"/>
      <c r="M4" s="81" t="s">
        <v>10</v>
      </c>
    </row>
    <row r="5" spans="2:12" ht="6.95" customHeight="1">
      <c r="B5" s="166"/>
      <c r="J5" s="167"/>
      <c r="L5" s="17"/>
    </row>
    <row r="6" spans="2:12" ht="12" customHeight="1">
      <c r="B6" s="166"/>
      <c r="D6" s="23" t="s">
        <v>13</v>
      </c>
      <c r="J6" s="167"/>
      <c r="L6" s="17"/>
    </row>
    <row r="7" spans="2:12" ht="16.5" customHeight="1">
      <c r="B7" s="166"/>
      <c r="E7" s="254" t="str">
        <f>'Rekapitulace stavby'!K6</f>
        <v>Oprava gynekologicko-porodnické oddělení</v>
      </c>
      <c r="F7" s="254"/>
      <c r="G7" s="254"/>
      <c r="H7" s="254"/>
      <c r="J7" s="167"/>
      <c r="L7" s="17"/>
    </row>
    <row r="8" spans="2:12" s="1" customFormat="1" ht="12" customHeight="1">
      <c r="B8" s="155"/>
      <c r="D8" s="23" t="s">
        <v>82</v>
      </c>
      <c r="J8" s="156"/>
      <c r="L8" s="26"/>
    </row>
    <row r="9" spans="2:12" s="1" customFormat="1" ht="47.25" customHeight="1">
      <c r="B9" s="155"/>
      <c r="E9" s="245" t="s">
        <v>133</v>
      </c>
      <c r="F9" s="245"/>
      <c r="G9" s="245"/>
      <c r="H9" s="245"/>
      <c r="J9" s="156"/>
      <c r="L9" s="26"/>
    </row>
    <row r="10" spans="2:12" s="1" customFormat="1" ht="12">
      <c r="B10" s="155"/>
      <c r="J10" s="156"/>
      <c r="L10" s="26"/>
    </row>
    <row r="11" spans="2:12" s="1" customFormat="1" ht="12" customHeight="1">
      <c r="B11" s="155"/>
      <c r="D11" s="23" t="s">
        <v>14</v>
      </c>
      <c r="F11" s="21" t="s">
        <v>1</v>
      </c>
      <c r="I11" s="23" t="s">
        <v>15</v>
      </c>
      <c r="J11" s="207" t="s">
        <v>1</v>
      </c>
      <c r="L11" s="26"/>
    </row>
    <row r="12" spans="2:12" s="1" customFormat="1" ht="12" customHeight="1">
      <c r="B12" s="155"/>
      <c r="D12" s="23" t="s">
        <v>16</v>
      </c>
      <c r="F12" s="21" t="s">
        <v>17</v>
      </c>
      <c r="I12" s="23" t="s">
        <v>18</v>
      </c>
      <c r="J12" s="157">
        <f>'Rekapitulace stavby'!AN8</f>
        <v>45194</v>
      </c>
      <c r="L12" s="26"/>
    </row>
    <row r="13" spans="2:12" s="1" customFormat="1" ht="11.1" customHeight="1">
      <c r="B13" s="155"/>
      <c r="J13" s="156"/>
      <c r="L13" s="26"/>
    </row>
    <row r="14" spans="2:12" s="1" customFormat="1" ht="12" customHeight="1">
      <c r="B14" s="155"/>
      <c r="D14" s="23" t="s">
        <v>19</v>
      </c>
      <c r="I14" s="23" t="s">
        <v>20</v>
      </c>
      <c r="J14" s="207" t="str">
        <f>IF('Rekapitulace stavby'!AN10="","",'Rekapitulace stavby'!AN10)</f>
        <v/>
      </c>
      <c r="L14" s="26"/>
    </row>
    <row r="15" spans="2:12" s="1" customFormat="1" ht="18" customHeight="1">
      <c r="B15" s="155"/>
      <c r="E15" s="21" t="str">
        <f>IF('Rekapitulace stavby'!E11="","",'Rekapitulace stavby'!E11)</f>
        <v xml:space="preserve"> </v>
      </c>
      <c r="I15" s="23" t="s">
        <v>21</v>
      </c>
      <c r="J15" s="207" t="str">
        <f>IF('Rekapitulace stavby'!AN11="","",'Rekapitulace stavby'!AN11)</f>
        <v/>
      </c>
      <c r="L15" s="26"/>
    </row>
    <row r="16" spans="2:12" s="1" customFormat="1" ht="6.95" customHeight="1">
      <c r="B16" s="155"/>
      <c r="J16" s="156"/>
      <c r="L16" s="26"/>
    </row>
    <row r="17" spans="2:12" s="1" customFormat="1" ht="12" customHeight="1">
      <c r="B17" s="155"/>
      <c r="D17" s="23" t="s">
        <v>22</v>
      </c>
      <c r="I17" s="23" t="s">
        <v>20</v>
      </c>
      <c r="J17" s="207" t="str">
        <f>'Rekapitulace stavby'!AN13</f>
        <v/>
      </c>
      <c r="L17" s="26"/>
    </row>
    <row r="18" spans="2:12" s="1" customFormat="1" ht="18" customHeight="1">
      <c r="B18" s="155"/>
      <c r="E18" s="235" t="str">
        <f>'Rekapitulace stavby'!E14</f>
        <v xml:space="preserve"> </v>
      </c>
      <c r="F18" s="235"/>
      <c r="G18" s="235"/>
      <c r="H18" s="235"/>
      <c r="I18" s="23" t="s">
        <v>21</v>
      </c>
      <c r="J18" s="207" t="str">
        <f>'Rekapitulace stavby'!AN14</f>
        <v/>
      </c>
      <c r="L18" s="26"/>
    </row>
    <row r="19" spans="2:12" s="1" customFormat="1" ht="6.95" customHeight="1">
      <c r="B19" s="155"/>
      <c r="J19" s="156"/>
      <c r="L19" s="26"/>
    </row>
    <row r="20" spans="2:12" s="1" customFormat="1" ht="12" customHeight="1">
      <c r="B20" s="155"/>
      <c r="D20" s="23" t="s">
        <v>23</v>
      </c>
      <c r="I20" s="23" t="s">
        <v>20</v>
      </c>
      <c r="J20" s="207" t="s">
        <v>1</v>
      </c>
      <c r="L20" s="26"/>
    </row>
    <row r="21" spans="2:12" s="1" customFormat="1" ht="18" customHeight="1">
      <c r="B21" s="155"/>
      <c r="E21" s="21" t="s">
        <v>132</v>
      </c>
      <c r="I21" s="23" t="s">
        <v>21</v>
      </c>
      <c r="J21" s="207" t="s">
        <v>1</v>
      </c>
      <c r="L21" s="26"/>
    </row>
    <row r="22" spans="2:12" s="1" customFormat="1" ht="6.95" customHeight="1">
      <c r="B22" s="155"/>
      <c r="J22" s="156"/>
      <c r="L22" s="26"/>
    </row>
    <row r="23" spans="2:12" s="1" customFormat="1" ht="12" customHeight="1">
      <c r="B23" s="155"/>
      <c r="D23" s="23" t="s">
        <v>26</v>
      </c>
      <c r="I23" s="23" t="s">
        <v>20</v>
      </c>
      <c r="J23" s="207" t="str">
        <f>IF('Rekapitulace stavby'!AN19="","",'Rekapitulace stavby'!AN19)</f>
        <v/>
      </c>
      <c r="L23" s="26"/>
    </row>
    <row r="24" spans="2:12" s="1" customFormat="1" ht="18" customHeight="1">
      <c r="B24" s="155"/>
      <c r="E24" s="21" t="str">
        <f>IF('Rekapitulace stavby'!E20="","",'Rekapitulace stavby'!E20)</f>
        <v xml:space="preserve"> </v>
      </c>
      <c r="I24" s="23" t="s">
        <v>21</v>
      </c>
      <c r="J24" s="207" t="str">
        <f>IF('Rekapitulace stavby'!AN20="","",'Rekapitulace stavby'!AN20)</f>
        <v/>
      </c>
      <c r="L24" s="26"/>
    </row>
    <row r="25" spans="2:12" s="1" customFormat="1" ht="6.95" customHeight="1">
      <c r="B25" s="155"/>
      <c r="J25" s="156"/>
      <c r="L25" s="26"/>
    </row>
    <row r="26" spans="2:12" s="1" customFormat="1" ht="12" customHeight="1">
      <c r="B26" s="155"/>
      <c r="D26" s="23" t="s">
        <v>27</v>
      </c>
      <c r="J26" s="156"/>
      <c r="L26" s="26"/>
    </row>
    <row r="27" spans="2:12" s="7" customFormat="1" ht="71.25" customHeight="1">
      <c r="B27" s="208"/>
      <c r="E27" s="238"/>
      <c r="F27" s="238"/>
      <c r="G27" s="238"/>
      <c r="H27" s="238"/>
      <c r="J27" s="209"/>
      <c r="L27" s="82"/>
    </row>
    <row r="28" spans="2:12" s="1" customFormat="1" ht="6.95" customHeight="1">
      <c r="B28" s="155"/>
      <c r="J28" s="156"/>
      <c r="L28" s="26"/>
    </row>
    <row r="29" spans="2:12" s="1" customFormat="1" ht="6.95" customHeight="1">
      <c r="B29" s="155"/>
      <c r="D29" s="47"/>
      <c r="E29" s="47"/>
      <c r="F29" s="47"/>
      <c r="G29" s="47"/>
      <c r="H29" s="47"/>
      <c r="I29" s="47"/>
      <c r="J29" s="210"/>
      <c r="K29" s="47"/>
      <c r="L29" s="26"/>
    </row>
    <row r="30" spans="2:12" s="1" customFormat="1" ht="25.35" customHeight="1">
      <c r="B30" s="155"/>
      <c r="D30" s="83" t="s">
        <v>29</v>
      </c>
      <c r="J30" s="211">
        <f>ROUND(J82,2)</f>
        <v>0</v>
      </c>
      <c r="L30" s="26"/>
    </row>
    <row r="31" spans="2:10" ht="12">
      <c r="B31" s="166"/>
      <c r="J31" s="167"/>
    </row>
    <row r="32" spans="2:10" ht="12">
      <c r="B32" s="166"/>
      <c r="J32" s="167"/>
    </row>
    <row r="33" spans="2:12" s="1" customFormat="1" ht="6.95" customHeight="1">
      <c r="B33" s="212"/>
      <c r="C33" s="141"/>
      <c r="D33" s="141"/>
      <c r="E33" s="141"/>
      <c r="F33" s="141"/>
      <c r="G33" s="141"/>
      <c r="H33" s="141"/>
      <c r="I33" s="141"/>
      <c r="J33" s="213"/>
      <c r="K33" s="41"/>
      <c r="L33" s="26"/>
    </row>
    <row r="34" spans="2:12" s="1" customFormat="1" ht="24.95" customHeight="1">
      <c r="B34" s="155"/>
      <c r="C34" s="18" t="s">
        <v>83</v>
      </c>
      <c r="J34" s="156"/>
      <c r="L34" s="26"/>
    </row>
    <row r="35" spans="2:12" s="1" customFormat="1" ht="6.95" customHeight="1">
      <c r="B35" s="155"/>
      <c r="J35" s="156"/>
      <c r="L35" s="26"/>
    </row>
    <row r="36" spans="2:12" s="1" customFormat="1" ht="12" customHeight="1">
      <c r="B36" s="155"/>
      <c r="C36" s="23" t="s">
        <v>13</v>
      </c>
      <c r="J36" s="156"/>
      <c r="L36" s="26"/>
    </row>
    <row r="37" spans="2:12" s="1" customFormat="1" ht="16.5" customHeight="1">
      <c r="B37" s="155"/>
      <c r="E37" s="254" t="str">
        <f>E7</f>
        <v>Oprava gynekologicko-porodnické oddělení</v>
      </c>
      <c r="F37" s="254"/>
      <c r="G37" s="254"/>
      <c r="H37" s="254"/>
      <c r="J37" s="156"/>
      <c r="L37" s="26"/>
    </row>
    <row r="38" spans="2:12" s="1" customFormat="1" ht="12" customHeight="1">
      <c r="B38" s="155"/>
      <c r="C38" s="23" t="s">
        <v>82</v>
      </c>
      <c r="J38" s="156"/>
      <c r="L38" s="26"/>
    </row>
    <row r="39" spans="2:12" s="1" customFormat="1" ht="16.5" customHeight="1">
      <c r="B39" s="155"/>
      <c r="E39" s="245" t="str">
        <f>E9</f>
        <v xml:space="preserve">01 - Chodba
</v>
      </c>
      <c r="F39" s="245"/>
      <c r="G39" s="245"/>
      <c r="H39" s="245"/>
      <c r="J39" s="156"/>
      <c r="L39" s="26"/>
    </row>
    <row r="40" spans="2:12" s="1" customFormat="1" ht="6.95" customHeight="1">
      <c r="B40" s="155"/>
      <c r="J40" s="156"/>
      <c r="L40" s="26"/>
    </row>
    <row r="41" spans="2:12" s="1" customFormat="1" ht="12" customHeight="1">
      <c r="B41" s="155"/>
      <c r="C41" s="23" t="s">
        <v>16</v>
      </c>
      <c r="F41" s="21" t="str">
        <f>F12</f>
        <v xml:space="preserve"> </v>
      </c>
      <c r="I41" s="23" t="s">
        <v>18</v>
      </c>
      <c r="J41" s="157">
        <f>IF(J12="","",J12)</f>
        <v>45194</v>
      </c>
      <c r="L41" s="26"/>
    </row>
    <row r="42" spans="2:12" s="1" customFormat="1" ht="6.95" customHeight="1">
      <c r="B42" s="155"/>
      <c r="J42" s="156"/>
      <c r="L42" s="26"/>
    </row>
    <row r="43" spans="2:12" s="1" customFormat="1" ht="15.2" customHeight="1">
      <c r="B43" s="155"/>
      <c r="C43" s="23" t="s">
        <v>19</v>
      </c>
      <c r="F43" s="21" t="str">
        <f>E15</f>
        <v xml:space="preserve"> </v>
      </c>
      <c r="I43" s="23" t="s">
        <v>23</v>
      </c>
      <c r="J43" s="158" t="str">
        <f>E21</f>
        <v>Ing. arch. Jan Ságl</v>
      </c>
      <c r="L43" s="26"/>
    </row>
    <row r="44" spans="2:12" s="1" customFormat="1" ht="15.2" customHeight="1">
      <c r="B44" s="155"/>
      <c r="C44" s="23" t="s">
        <v>22</v>
      </c>
      <c r="F44" s="21" t="str">
        <f>IF(E18="","",E18)</f>
        <v xml:space="preserve"> </v>
      </c>
      <c r="I44" s="23" t="s">
        <v>26</v>
      </c>
      <c r="J44" s="158" t="str">
        <f>E24</f>
        <v xml:space="preserve"> </v>
      </c>
      <c r="L44" s="26"/>
    </row>
    <row r="45" spans="2:12" s="1" customFormat="1" ht="10.35" customHeight="1">
      <c r="B45" s="155"/>
      <c r="J45" s="156"/>
      <c r="L45" s="26"/>
    </row>
    <row r="46" spans="2:12" s="1" customFormat="1" ht="29.25" customHeight="1">
      <c r="B46" s="155"/>
      <c r="C46" s="95" t="s">
        <v>84</v>
      </c>
      <c r="D46" s="87"/>
      <c r="E46" s="87"/>
      <c r="F46" s="87"/>
      <c r="G46" s="87"/>
      <c r="H46" s="87"/>
      <c r="I46" s="87"/>
      <c r="J46" s="214" t="s">
        <v>85</v>
      </c>
      <c r="K46" s="87"/>
      <c r="L46" s="26"/>
    </row>
    <row r="47" spans="2:12" s="1" customFormat="1" ht="10.35" customHeight="1">
      <c r="B47" s="155"/>
      <c r="J47" s="156"/>
      <c r="L47" s="26"/>
    </row>
    <row r="48" spans="2:12" s="1" customFormat="1" ht="6.95" customHeight="1">
      <c r="B48" s="215"/>
      <c r="C48" s="39"/>
      <c r="D48" s="39"/>
      <c r="E48" s="39"/>
      <c r="F48" s="39"/>
      <c r="G48" s="39"/>
      <c r="H48" s="39"/>
      <c r="I48" s="39"/>
      <c r="J48" s="216"/>
      <c r="K48" s="39"/>
      <c r="L48" s="26"/>
    </row>
    <row r="49" spans="2:10" s="1" customFormat="1" ht="15" customHeight="1">
      <c r="B49" s="155"/>
      <c r="J49" s="156"/>
    </row>
    <row r="50" spans="2:10" s="1" customFormat="1" ht="15" customHeight="1">
      <c r="B50" s="155"/>
      <c r="J50" s="156"/>
    </row>
    <row r="51" spans="2:10" s="1" customFormat="1" ht="15" customHeight="1">
      <c r="B51" s="155"/>
      <c r="J51" s="156"/>
    </row>
    <row r="52" spans="2:10" s="141" customFormat="1" ht="15" customHeight="1">
      <c r="B52" s="212"/>
      <c r="J52" s="213"/>
    </row>
    <row r="53" spans="2:10" s="1" customFormat="1" ht="15" customHeight="1">
      <c r="B53" s="155"/>
      <c r="J53" s="156"/>
    </row>
    <row r="54" spans="2:10" s="1" customFormat="1" ht="15" customHeight="1">
      <c r="B54" s="155"/>
      <c r="J54" s="156"/>
    </row>
    <row r="55" spans="2:10" s="1" customFormat="1" ht="15" customHeight="1">
      <c r="B55" s="155"/>
      <c r="J55" s="156"/>
    </row>
    <row r="56" spans="2:10" s="1" customFormat="1" ht="15" customHeight="1">
      <c r="B56" s="155"/>
      <c r="J56" s="156"/>
    </row>
    <row r="57" spans="2:10" s="1" customFormat="1" ht="15" customHeight="1">
      <c r="B57" s="155"/>
      <c r="J57" s="156"/>
    </row>
    <row r="58" spans="2:10" s="1" customFormat="1" ht="15" customHeight="1">
      <c r="B58" s="155"/>
      <c r="J58" s="156"/>
    </row>
    <row r="59" spans="2:10" s="1" customFormat="1" ht="15" customHeight="1">
      <c r="B59" s="155"/>
      <c r="J59" s="156"/>
    </row>
    <row r="60" spans="2:10" s="1" customFormat="1" ht="15" customHeight="1">
      <c r="B60" s="155"/>
      <c r="J60" s="156"/>
    </row>
    <row r="61" spans="2:10" s="1" customFormat="1" ht="15" customHeight="1">
      <c r="B61" s="155"/>
      <c r="J61" s="156"/>
    </row>
    <row r="62" spans="2:10" s="1" customFormat="1" ht="15" customHeight="1">
      <c r="B62" s="155"/>
      <c r="J62" s="156"/>
    </row>
    <row r="63" spans="2:10" s="1" customFormat="1" ht="15" customHeight="1">
      <c r="B63" s="155"/>
      <c r="J63" s="156"/>
    </row>
    <row r="64" spans="2:10" s="1" customFormat="1" ht="15" customHeight="1">
      <c r="B64" s="155"/>
      <c r="J64" s="156"/>
    </row>
    <row r="65" spans="2:10" ht="15" customHeight="1">
      <c r="B65" s="166"/>
      <c r="J65" s="167"/>
    </row>
    <row r="66" spans="2:10" ht="15" customHeight="1">
      <c r="B66" s="166"/>
      <c r="J66" s="167"/>
    </row>
    <row r="67" spans="2:10" ht="15" customHeight="1">
      <c r="B67" s="166"/>
      <c r="J67" s="167"/>
    </row>
    <row r="68" spans="2:12" s="1" customFormat="1" ht="6.95" customHeight="1">
      <c r="B68" s="217"/>
      <c r="C68" s="41"/>
      <c r="D68" s="41"/>
      <c r="E68" s="41"/>
      <c r="F68" s="41"/>
      <c r="G68" s="41"/>
      <c r="H68" s="41"/>
      <c r="I68" s="41"/>
      <c r="J68" s="218"/>
      <c r="K68" s="41"/>
      <c r="L68" s="26"/>
    </row>
    <row r="69" spans="2:12" s="1" customFormat="1" ht="24.95" customHeight="1">
      <c r="B69" s="155"/>
      <c r="C69" s="18" t="s">
        <v>88</v>
      </c>
      <c r="J69" s="156"/>
      <c r="L69" s="26"/>
    </row>
    <row r="70" spans="2:12" s="1" customFormat="1" ht="6.95" customHeight="1">
      <c r="B70" s="155"/>
      <c r="J70" s="156"/>
      <c r="L70" s="26"/>
    </row>
    <row r="71" spans="2:12" s="1" customFormat="1" ht="12" customHeight="1">
      <c r="B71" s="155"/>
      <c r="C71" s="23" t="s">
        <v>13</v>
      </c>
      <c r="J71" s="156"/>
      <c r="L71" s="26"/>
    </row>
    <row r="72" spans="2:12" s="1" customFormat="1" ht="16.5" customHeight="1">
      <c r="B72" s="155"/>
      <c r="E72" s="254" t="str">
        <f>E7</f>
        <v>Oprava gynekologicko-porodnické oddělení</v>
      </c>
      <c r="F72" s="255"/>
      <c r="G72" s="255"/>
      <c r="H72" s="255"/>
      <c r="J72" s="156"/>
      <c r="L72" s="26"/>
    </row>
    <row r="73" spans="2:12" s="1" customFormat="1" ht="12" customHeight="1">
      <c r="B73" s="155"/>
      <c r="C73" s="23" t="s">
        <v>82</v>
      </c>
      <c r="J73" s="156"/>
      <c r="L73" s="26"/>
    </row>
    <row r="74" spans="2:12" s="1" customFormat="1" ht="16.5" customHeight="1">
      <c r="B74" s="155"/>
      <c r="E74" s="245" t="str">
        <f>E9</f>
        <v xml:space="preserve">01 - Chodba
</v>
      </c>
      <c r="F74" s="256"/>
      <c r="G74" s="256"/>
      <c r="H74" s="256"/>
      <c r="J74" s="156"/>
      <c r="L74" s="26"/>
    </row>
    <row r="75" spans="2:12" s="1" customFormat="1" ht="6.95" customHeight="1">
      <c r="B75" s="155"/>
      <c r="J75" s="156"/>
      <c r="L75" s="26"/>
    </row>
    <row r="76" spans="2:12" s="1" customFormat="1" ht="12" customHeight="1">
      <c r="B76" s="155"/>
      <c r="C76" s="23" t="s">
        <v>16</v>
      </c>
      <c r="F76" s="21" t="str">
        <f>F12</f>
        <v xml:space="preserve"> </v>
      </c>
      <c r="I76" s="23" t="s">
        <v>18</v>
      </c>
      <c r="J76" s="157">
        <f>IF(J12="","",J12)</f>
        <v>45194</v>
      </c>
      <c r="L76" s="26"/>
    </row>
    <row r="77" spans="2:12" s="1" customFormat="1" ht="6.95" customHeight="1">
      <c r="B77" s="155"/>
      <c r="J77" s="156"/>
      <c r="L77" s="26"/>
    </row>
    <row r="78" spans="2:12" s="1" customFormat="1" ht="15.2" customHeight="1">
      <c r="B78" s="155"/>
      <c r="C78" s="23" t="s">
        <v>19</v>
      </c>
      <c r="F78" s="21" t="str">
        <f>E15</f>
        <v xml:space="preserve"> </v>
      </c>
      <c r="I78" s="23" t="s">
        <v>23</v>
      </c>
      <c r="J78" s="158" t="str">
        <f>E21</f>
        <v>Ing. arch. Jan Ságl</v>
      </c>
      <c r="L78" s="26"/>
    </row>
    <row r="79" spans="2:12" s="1" customFormat="1" ht="15.2" customHeight="1">
      <c r="B79" s="155"/>
      <c r="C79" s="23" t="s">
        <v>22</v>
      </c>
      <c r="F79" s="21" t="str">
        <f>IF(E18="","",E18)</f>
        <v xml:space="preserve"> </v>
      </c>
      <c r="I79" s="23" t="s">
        <v>26</v>
      </c>
      <c r="J79" s="158" t="str">
        <f>E24</f>
        <v xml:space="preserve"> </v>
      </c>
      <c r="L79" s="26"/>
    </row>
    <row r="80" spans="2:12" s="1" customFormat="1" ht="10.35" customHeight="1">
      <c r="B80" s="155"/>
      <c r="J80" s="156"/>
      <c r="L80" s="26"/>
    </row>
    <row r="81" spans="2:19" s="10" customFormat="1" ht="29.25" customHeight="1">
      <c r="B81" s="159"/>
      <c r="C81" s="103" t="s">
        <v>89</v>
      </c>
      <c r="D81" s="104" t="s">
        <v>54</v>
      </c>
      <c r="E81" s="104" t="s">
        <v>50</v>
      </c>
      <c r="F81" s="104" t="s">
        <v>51</v>
      </c>
      <c r="G81" s="104" t="s">
        <v>90</v>
      </c>
      <c r="H81" s="104" t="s">
        <v>91</v>
      </c>
      <c r="I81" s="104" t="s">
        <v>92</v>
      </c>
      <c r="J81" s="160" t="s">
        <v>85</v>
      </c>
      <c r="K81" s="106" t="s">
        <v>93</v>
      </c>
      <c r="L81" s="102"/>
      <c r="M81" s="52" t="s">
        <v>1</v>
      </c>
      <c r="N81" s="53" t="s">
        <v>94</v>
      </c>
      <c r="O81" s="53" t="s">
        <v>95</v>
      </c>
      <c r="P81" s="53" t="s">
        <v>96</v>
      </c>
      <c r="Q81" s="53" t="s">
        <v>97</v>
      </c>
      <c r="R81" s="53" t="s">
        <v>98</v>
      </c>
      <c r="S81" s="54" t="s">
        <v>99</v>
      </c>
    </row>
    <row r="82" spans="2:19" s="1" customFormat="1" ht="23.1" customHeight="1">
      <c r="B82" s="155"/>
      <c r="C82" s="57" t="s">
        <v>100</v>
      </c>
      <c r="J82" s="161">
        <f>SUM(J85:J181)</f>
        <v>0</v>
      </c>
      <c r="L82" s="139"/>
      <c r="M82" s="55"/>
      <c r="N82" s="47"/>
      <c r="O82" s="108" t="e">
        <f>#REF!+#REF!</f>
        <v>#REF!</v>
      </c>
      <c r="P82" s="47"/>
      <c r="Q82" s="108" t="e">
        <f>#REF!+#REF!</f>
        <v>#REF!</v>
      </c>
      <c r="R82" s="47"/>
      <c r="S82" s="109" t="e">
        <f>#REF!+#REF!</f>
        <v>#REF!</v>
      </c>
    </row>
    <row r="83" spans="2:19" s="11" customFormat="1" ht="26.1" customHeight="1">
      <c r="B83" s="162"/>
      <c r="D83" s="112"/>
      <c r="E83" s="113"/>
      <c r="F83" s="113"/>
      <c r="J83" s="163"/>
      <c r="L83" s="111"/>
      <c r="M83" s="115"/>
      <c r="O83" s="116"/>
      <c r="Q83" s="116"/>
      <c r="S83" s="117"/>
    </row>
    <row r="84" spans="2:19" s="11" customFormat="1" ht="26.1" customHeight="1">
      <c r="B84" s="162"/>
      <c r="D84" s="112"/>
      <c r="E84" s="113"/>
      <c r="F84" s="120" t="s">
        <v>134</v>
      </c>
      <c r="J84" s="163"/>
      <c r="L84" s="111"/>
      <c r="M84" s="115"/>
      <c r="O84" s="116"/>
      <c r="Q84" s="116"/>
      <c r="S84" s="117"/>
    </row>
    <row r="85" spans="2:19" s="11" customFormat="1" ht="31.5" customHeight="1">
      <c r="B85" s="162"/>
      <c r="C85" s="123">
        <v>1</v>
      </c>
      <c r="D85" s="123" t="s">
        <v>103</v>
      </c>
      <c r="E85" s="124"/>
      <c r="F85" s="125" t="s">
        <v>308</v>
      </c>
      <c r="G85" s="126" t="s">
        <v>135</v>
      </c>
      <c r="H85" s="127">
        <v>2</v>
      </c>
      <c r="I85" s="128">
        <v>0</v>
      </c>
      <c r="J85" s="164">
        <f>ROUND(I85*H85,2)</f>
        <v>0</v>
      </c>
      <c r="L85" s="111"/>
      <c r="M85" s="115"/>
      <c r="O85" s="116"/>
      <c r="Q85" s="116"/>
      <c r="S85" s="117"/>
    </row>
    <row r="86" spans="2:19" s="11" customFormat="1" ht="26.1" customHeight="1">
      <c r="B86" s="162"/>
      <c r="C86" s="123">
        <f>1+C85</f>
        <v>2</v>
      </c>
      <c r="D86" s="123" t="s">
        <v>103</v>
      </c>
      <c r="E86" s="124"/>
      <c r="F86" s="125" t="s">
        <v>140</v>
      </c>
      <c r="G86" s="126" t="s">
        <v>106</v>
      </c>
      <c r="H86" s="127">
        <f>(9)*3</f>
        <v>27</v>
      </c>
      <c r="I86" s="128">
        <v>0</v>
      </c>
      <c r="J86" s="164">
        <f>ROUND(I86*H86,2)</f>
        <v>0</v>
      </c>
      <c r="L86" s="111"/>
      <c r="M86" s="115"/>
      <c r="O86" s="116"/>
      <c r="Q86" s="116"/>
      <c r="S86" s="117"/>
    </row>
    <row r="87" spans="2:19" s="11" customFormat="1" ht="26.1" customHeight="1">
      <c r="B87" s="162"/>
      <c r="C87" s="123">
        <f>1+C86</f>
        <v>3</v>
      </c>
      <c r="D87" s="123" t="s">
        <v>103</v>
      </c>
      <c r="E87" s="124"/>
      <c r="F87" s="125" t="s">
        <v>141</v>
      </c>
      <c r="G87" s="126" t="s">
        <v>106</v>
      </c>
      <c r="H87" s="127">
        <v>20</v>
      </c>
      <c r="I87" s="128">
        <v>0</v>
      </c>
      <c r="J87" s="164">
        <f>ROUND(I87*H87,2)</f>
        <v>0</v>
      </c>
      <c r="L87" s="111"/>
      <c r="M87" s="115"/>
      <c r="O87" s="116"/>
      <c r="Q87" s="116"/>
      <c r="S87" s="117"/>
    </row>
    <row r="88" spans="2:19" s="11" customFormat="1" ht="26.1" customHeight="1">
      <c r="B88" s="162"/>
      <c r="C88" s="123"/>
      <c r="D88" s="142"/>
      <c r="E88" s="143"/>
      <c r="F88" s="144"/>
      <c r="G88" s="126" t="s">
        <v>142</v>
      </c>
      <c r="H88" s="127">
        <v>22</v>
      </c>
      <c r="I88" s="128"/>
      <c r="J88" s="165"/>
      <c r="L88" s="111"/>
      <c r="M88" s="115"/>
      <c r="O88" s="116"/>
      <c r="Q88" s="116"/>
      <c r="S88" s="117"/>
    </row>
    <row r="89" spans="2:19" s="11" customFormat="1" ht="26.1" customHeight="1">
      <c r="B89" s="162"/>
      <c r="C89" s="123"/>
      <c r="D89" s="142"/>
      <c r="E89" s="143"/>
      <c r="F89" s="148" t="s">
        <v>136</v>
      </c>
      <c r="G89" s="145"/>
      <c r="H89" s="146"/>
      <c r="I89" s="128"/>
      <c r="J89" s="165"/>
      <c r="L89" s="111"/>
      <c r="M89" s="115"/>
      <c r="O89" s="116"/>
      <c r="Q89" s="116"/>
      <c r="S89" s="117"/>
    </row>
    <row r="90" spans="2:19" s="11" customFormat="1" ht="51" customHeight="1">
      <c r="B90" s="162"/>
      <c r="C90" s="123">
        <f>1+C87</f>
        <v>4</v>
      </c>
      <c r="D90" s="123" t="s">
        <v>103</v>
      </c>
      <c r="E90" s="124"/>
      <c r="F90" s="125" t="s">
        <v>267</v>
      </c>
      <c r="G90" s="126" t="s">
        <v>106</v>
      </c>
      <c r="H90" s="127">
        <f>H87</f>
        <v>20</v>
      </c>
      <c r="I90" s="128">
        <v>0</v>
      </c>
      <c r="J90" s="164">
        <f>ROUND(I90*H90,2)</f>
        <v>0</v>
      </c>
      <c r="L90" s="111"/>
      <c r="M90" s="115"/>
      <c r="O90" s="116"/>
      <c r="Q90" s="116"/>
      <c r="S90" s="117"/>
    </row>
    <row r="91" spans="2:19" s="11" customFormat="1" ht="26.1" customHeight="1">
      <c r="B91" s="162"/>
      <c r="C91" s="123"/>
      <c r="D91" s="123"/>
      <c r="E91" s="124"/>
      <c r="F91" s="148" t="s">
        <v>137</v>
      </c>
      <c r="G91" s="126"/>
      <c r="H91" s="127"/>
      <c r="I91" s="128"/>
      <c r="J91" s="164"/>
      <c r="L91" s="111"/>
      <c r="M91" s="115"/>
      <c r="O91" s="116"/>
      <c r="Q91" s="116"/>
      <c r="S91" s="117"/>
    </row>
    <row r="92" spans="2:19" s="11" customFormat="1" ht="26.1" customHeight="1">
      <c r="B92" s="162"/>
      <c r="C92" s="123">
        <f>1+C90</f>
        <v>5</v>
      </c>
      <c r="D92" s="123" t="s">
        <v>103</v>
      </c>
      <c r="E92" s="124"/>
      <c r="F92" s="125" t="s">
        <v>139</v>
      </c>
      <c r="G92" s="126" t="s">
        <v>111</v>
      </c>
      <c r="H92" s="127">
        <v>1</v>
      </c>
      <c r="I92" s="128">
        <v>0</v>
      </c>
      <c r="J92" s="164">
        <f>ROUND(I92*H92,2)</f>
        <v>0</v>
      </c>
      <c r="L92" s="111"/>
      <c r="M92" s="115"/>
      <c r="O92" s="116"/>
      <c r="Q92" s="116"/>
      <c r="S92" s="117"/>
    </row>
    <row r="93" spans="2:19" s="11" customFormat="1" ht="26.1" customHeight="1">
      <c r="B93" s="162"/>
      <c r="C93" s="123"/>
      <c r="D93" s="123"/>
      <c r="E93" s="124"/>
      <c r="F93" s="148" t="s">
        <v>144</v>
      </c>
      <c r="G93" s="126"/>
      <c r="H93" s="127"/>
      <c r="I93" s="128"/>
      <c r="J93" s="164"/>
      <c r="L93" s="111"/>
      <c r="M93" s="115"/>
      <c r="O93" s="116"/>
      <c r="Q93" s="116"/>
      <c r="S93" s="117"/>
    </row>
    <row r="94" spans="2:19" s="11" customFormat="1" ht="26.1" customHeight="1">
      <c r="B94" s="162"/>
      <c r="C94" s="123">
        <f>1+C92</f>
        <v>6</v>
      </c>
      <c r="D94" s="123" t="s">
        <v>103</v>
      </c>
      <c r="E94" s="124"/>
      <c r="F94" s="125" t="s">
        <v>231</v>
      </c>
      <c r="G94" s="126" t="s">
        <v>106</v>
      </c>
      <c r="H94" s="127">
        <f>H98*4+3*H88</f>
        <v>626</v>
      </c>
      <c r="I94" s="128">
        <v>0</v>
      </c>
      <c r="J94" s="164">
        <f>ROUND(I94*H94,2)</f>
        <v>0</v>
      </c>
      <c r="L94" s="111"/>
      <c r="M94" s="115"/>
      <c r="O94" s="116"/>
      <c r="Q94" s="116"/>
      <c r="S94" s="117"/>
    </row>
    <row r="95" spans="2:19" s="11" customFormat="1" ht="26.1" customHeight="1">
      <c r="B95" s="162"/>
      <c r="C95" s="123">
        <f>1+C94</f>
        <v>7</v>
      </c>
      <c r="D95" s="123" t="s">
        <v>103</v>
      </c>
      <c r="E95" s="124"/>
      <c r="F95" s="125" t="s">
        <v>138</v>
      </c>
      <c r="G95" s="126" t="s">
        <v>106</v>
      </c>
      <c r="H95" s="127">
        <f>5*4</f>
        <v>20</v>
      </c>
      <c r="I95" s="128">
        <v>0</v>
      </c>
      <c r="J95" s="164">
        <f>ROUND(I95*H95,2)</f>
        <v>0</v>
      </c>
      <c r="L95" s="111"/>
      <c r="M95" s="115"/>
      <c r="O95" s="116"/>
      <c r="Q95" s="116"/>
      <c r="S95" s="117"/>
    </row>
    <row r="96" spans="2:19" s="11" customFormat="1" ht="26.1" customHeight="1">
      <c r="B96" s="162"/>
      <c r="C96" s="123">
        <f>1+C95</f>
        <v>8</v>
      </c>
      <c r="D96" s="123" t="s">
        <v>103</v>
      </c>
      <c r="E96" s="124"/>
      <c r="F96" s="125" t="s">
        <v>309</v>
      </c>
      <c r="G96" s="126" t="s">
        <v>135</v>
      </c>
      <c r="H96" s="127">
        <v>1</v>
      </c>
      <c r="I96" s="128">
        <v>0</v>
      </c>
      <c r="J96" s="164">
        <f>ROUND(I96*H96,2)</f>
        <v>0</v>
      </c>
      <c r="L96" s="111"/>
      <c r="M96" s="115"/>
      <c r="O96" s="116"/>
      <c r="Q96" s="116"/>
      <c r="S96" s="117"/>
    </row>
    <row r="97" spans="2:19" s="11" customFormat="1" ht="26.1" customHeight="1">
      <c r="B97" s="162"/>
      <c r="C97" s="123">
        <f>1+C96</f>
        <v>9</v>
      </c>
      <c r="D97" s="123" t="s">
        <v>103</v>
      </c>
      <c r="E97" s="124"/>
      <c r="F97" s="125" t="s">
        <v>160</v>
      </c>
      <c r="G97" s="126" t="s">
        <v>106</v>
      </c>
      <c r="H97" s="127">
        <v>180</v>
      </c>
      <c r="I97" s="128">
        <v>0</v>
      </c>
      <c r="J97" s="164">
        <f>ROUND(I97*H97,2)</f>
        <v>0</v>
      </c>
      <c r="L97" s="111"/>
      <c r="M97" s="115"/>
      <c r="O97" s="116"/>
      <c r="Q97" s="116"/>
      <c r="S97" s="117"/>
    </row>
    <row r="98" spans="2:19" s="11" customFormat="1" ht="26.1" customHeight="1">
      <c r="B98" s="162"/>
      <c r="C98" s="123"/>
      <c r="D98" s="142"/>
      <c r="E98" s="143"/>
      <c r="F98" s="144"/>
      <c r="G98" s="126" t="s">
        <v>142</v>
      </c>
      <c r="H98" s="127">
        <v>140</v>
      </c>
      <c r="I98" s="128"/>
      <c r="J98" s="164"/>
      <c r="L98" s="111"/>
      <c r="M98" s="115"/>
      <c r="O98" s="116"/>
      <c r="Q98" s="116"/>
      <c r="S98" s="117"/>
    </row>
    <row r="99" spans="2:19" s="11" customFormat="1" ht="26.1" customHeight="1">
      <c r="B99" s="162"/>
      <c r="C99" s="123">
        <f>C97+1</f>
        <v>10</v>
      </c>
      <c r="D99" s="123" t="s">
        <v>103</v>
      </c>
      <c r="E99" s="124"/>
      <c r="F99" s="125" t="s">
        <v>199</v>
      </c>
      <c r="G99" s="126" t="s">
        <v>106</v>
      </c>
      <c r="H99" s="127">
        <f>H87</f>
        <v>20</v>
      </c>
      <c r="I99" s="128">
        <v>0</v>
      </c>
      <c r="J99" s="164">
        <f>ROUND(I99*H99,2)</f>
        <v>0</v>
      </c>
      <c r="L99" s="111"/>
      <c r="M99" s="115"/>
      <c r="O99" s="116"/>
      <c r="Q99" s="116"/>
      <c r="S99" s="117"/>
    </row>
    <row r="100" spans="2:19" s="11" customFormat="1" ht="26.1" customHeight="1">
      <c r="B100" s="162"/>
      <c r="C100" s="123">
        <v>11</v>
      </c>
      <c r="D100" s="123" t="s">
        <v>103</v>
      </c>
      <c r="E100" s="124"/>
      <c r="F100" s="125" t="s">
        <v>143</v>
      </c>
      <c r="G100" s="126" t="s">
        <v>111</v>
      </c>
      <c r="H100" s="127">
        <v>1</v>
      </c>
      <c r="I100" s="128">
        <v>0</v>
      </c>
      <c r="J100" s="164">
        <f>ROUND(I100*H100,2)</f>
        <v>0</v>
      </c>
      <c r="L100" s="111"/>
      <c r="M100" s="115"/>
      <c r="O100" s="116"/>
      <c r="Q100" s="116"/>
      <c r="S100" s="117"/>
    </row>
    <row r="101" spans="2:19" s="11" customFormat="1" ht="26.1" customHeight="1">
      <c r="B101" s="162"/>
      <c r="C101" s="123"/>
      <c r="D101" s="142"/>
      <c r="E101" s="143"/>
      <c r="F101" s="148" t="s">
        <v>145</v>
      </c>
      <c r="G101" s="145"/>
      <c r="H101" s="146"/>
      <c r="I101" s="128"/>
      <c r="J101" s="165"/>
      <c r="L101" s="111"/>
      <c r="M101" s="115"/>
      <c r="O101" s="116"/>
      <c r="Q101" s="116"/>
      <c r="S101" s="117"/>
    </row>
    <row r="102" spans="2:19" s="11" customFormat="1" ht="26.1" customHeight="1">
      <c r="B102" s="162"/>
      <c r="C102" s="123">
        <v>12</v>
      </c>
      <c r="D102" s="123" t="s">
        <v>103</v>
      </c>
      <c r="E102" s="124"/>
      <c r="F102" s="125" t="s">
        <v>146</v>
      </c>
      <c r="G102" s="126" t="s">
        <v>111</v>
      </c>
      <c r="H102" s="127">
        <v>10</v>
      </c>
      <c r="I102" s="128">
        <v>0</v>
      </c>
      <c r="J102" s="164">
        <f>ROUND(I102*H102,2)</f>
        <v>0</v>
      </c>
      <c r="L102" s="111"/>
      <c r="M102" s="115"/>
      <c r="O102" s="116"/>
      <c r="Q102" s="116"/>
      <c r="S102" s="117"/>
    </row>
    <row r="103" spans="2:19" s="11" customFormat="1" ht="26.1" customHeight="1">
      <c r="B103" s="162"/>
      <c r="C103" s="123"/>
      <c r="D103" s="142"/>
      <c r="E103" s="143"/>
      <c r="F103" s="148"/>
      <c r="G103" s="145"/>
      <c r="H103" s="146"/>
      <c r="I103" s="128"/>
      <c r="J103" s="165"/>
      <c r="L103" s="111"/>
      <c r="M103" s="115"/>
      <c r="O103" s="116"/>
      <c r="Q103" s="116"/>
      <c r="S103" s="117"/>
    </row>
    <row r="104" spans="2:19" s="11" customFormat="1" ht="26.1" customHeight="1">
      <c r="B104" s="162"/>
      <c r="C104" s="123">
        <v>13</v>
      </c>
      <c r="D104" s="123" t="s">
        <v>103</v>
      </c>
      <c r="E104" s="124"/>
      <c r="F104" s="125" t="s">
        <v>148</v>
      </c>
      <c r="G104" s="126" t="s">
        <v>111</v>
      </c>
      <c r="H104" s="127">
        <v>13</v>
      </c>
      <c r="I104" s="128">
        <v>0</v>
      </c>
      <c r="J104" s="164">
        <f aca="true" t="shared" si="0" ref="J104:J115">ROUND(I104*H104,2)</f>
        <v>0</v>
      </c>
      <c r="L104" s="111"/>
      <c r="M104" s="115"/>
      <c r="O104" s="116"/>
      <c r="Q104" s="116"/>
      <c r="S104" s="117"/>
    </row>
    <row r="105" spans="2:19" s="11" customFormat="1" ht="26.1" customHeight="1">
      <c r="B105" s="162"/>
      <c r="C105" s="123">
        <v>14</v>
      </c>
      <c r="D105" s="123" t="s">
        <v>103</v>
      </c>
      <c r="E105" s="124"/>
      <c r="F105" s="125" t="s">
        <v>149</v>
      </c>
      <c r="G105" s="126" t="s">
        <v>111</v>
      </c>
      <c r="H105" s="127">
        <v>2</v>
      </c>
      <c r="I105" s="128">
        <v>0</v>
      </c>
      <c r="J105" s="164">
        <f t="shared" si="0"/>
        <v>0</v>
      </c>
      <c r="L105" s="111"/>
      <c r="M105" s="115"/>
      <c r="O105" s="116"/>
      <c r="Q105" s="116"/>
      <c r="S105" s="117"/>
    </row>
    <row r="106" spans="2:19" s="11" customFormat="1" ht="26.1" customHeight="1">
      <c r="B106" s="162"/>
      <c r="C106" s="123">
        <v>15</v>
      </c>
      <c r="D106" s="123" t="s">
        <v>103</v>
      </c>
      <c r="E106" s="124"/>
      <c r="F106" s="125" t="s">
        <v>231</v>
      </c>
      <c r="G106" s="126" t="s">
        <v>106</v>
      </c>
      <c r="H106" s="127">
        <f>H98*3.6</f>
        <v>504</v>
      </c>
      <c r="I106" s="128">
        <v>0</v>
      </c>
      <c r="J106" s="164">
        <f t="shared" si="0"/>
        <v>0</v>
      </c>
      <c r="L106" s="111"/>
      <c r="M106" s="115"/>
      <c r="O106" s="116"/>
      <c r="Q106" s="116"/>
      <c r="S106" s="117"/>
    </row>
    <row r="107" spans="2:19" s="11" customFormat="1" ht="26.1" customHeight="1">
      <c r="B107" s="162"/>
      <c r="C107" s="123">
        <v>16</v>
      </c>
      <c r="D107" s="123" t="s">
        <v>103</v>
      </c>
      <c r="E107" s="124"/>
      <c r="F107" s="125" t="s">
        <v>150</v>
      </c>
      <c r="G107" s="126" t="s">
        <v>108</v>
      </c>
      <c r="H107" s="127">
        <f>4+2</f>
        <v>6</v>
      </c>
      <c r="I107" s="128">
        <v>0</v>
      </c>
      <c r="J107" s="164">
        <f t="shared" si="0"/>
        <v>0</v>
      </c>
      <c r="L107" s="111"/>
      <c r="M107" s="115"/>
      <c r="O107" s="116"/>
      <c r="Q107" s="116"/>
      <c r="S107" s="117"/>
    </row>
    <row r="108" spans="2:19" s="11" customFormat="1" ht="26.1" customHeight="1">
      <c r="B108" s="162"/>
      <c r="C108" s="123">
        <v>17</v>
      </c>
      <c r="D108" s="123" t="s">
        <v>103</v>
      </c>
      <c r="E108" s="124"/>
      <c r="F108" s="125" t="s">
        <v>151</v>
      </c>
      <c r="G108" s="126" t="s">
        <v>106</v>
      </c>
      <c r="H108" s="127">
        <f>4*2</f>
        <v>8</v>
      </c>
      <c r="I108" s="128">
        <v>0</v>
      </c>
      <c r="J108" s="164">
        <f t="shared" si="0"/>
        <v>0</v>
      </c>
      <c r="L108" s="111"/>
      <c r="M108" s="115"/>
      <c r="O108" s="116"/>
      <c r="Q108" s="116"/>
      <c r="S108" s="117"/>
    </row>
    <row r="109" spans="2:19" s="11" customFormat="1" ht="26.1" customHeight="1">
      <c r="B109" s="162"/>
      <c r="C109" s="123">
        <v>18</v>
      </c>
      <c r="D109" s="123" t="s">
        <v>103</v>
      </c>
      <c r="E109" s="124"/>
      <c r="F109" s="125" t="s">
        <v>152</v>
      </c>
      <c r="G109" s="126" t="s">
        <v>106</v>
      </c>
      <c r="H109" s="127">
        <f>(3.5+1+3.5+4.5)*3.5</f>
        <v>43.75</v>
      </c>
      <c r="I109" s="128">
        <v>0</v>
      </c>
      <c r="J109" s="164">
        <f t="shared" si="0"/>
        <v>0</v>
      </c>
      <c r="L109" s="111"/>
      <c r="M109" s="115"/>
      <c r="O109" s="116"/>
      <c r="Q109" s="116"/>
      <c r="S109" s="117"/>
    </row>
    <row r="110" spans="2:19" s="11" customFormat="1" ht="26.1" customHeight="1">
      <c r="B110" s="162"/>
      <c r="C110" s="123">
        <v>19</v>
      </c>
      <c r="D110" s="123" t="s">
        <v>103</v>
      </c>
      <c r="E110" s="124"/>
      <c r="F110" s="125" t="s">
        <v>153</v>
      </c>
      <c r="G110" s="126" t="s">
        <v>111</v>
      </c>
      <c r="H110" s="127">
        <v>1</v>
      </c>
      <c r="I110" s="128">
        <v>0</v>
      </c>
      <c r="J110" s="164">
        <f t="shared" si="0"/>
        <v>0</v>
      </c>
      <c r="L110" s="111"/>
      <c r="M110" s="115"/>
      <c r="O110" s="116"/>
      <c r="Q110" s="116"/>
      <c r="S110" s="117"/>
    </row>
    <row r="111" spans="2:19" s="11" customFormat="1" ht="26.1" customHeight="1">
      <c r="B111" s="162"/>
      <c r="C111" s="123">
        <v>20</v>
      </c>
      <c r="D111" s="123" t="s">
        <v>103</v>
      </c>
      <c r="E111" s="124"/>
      <c r="F111" s="125" t="s">
        <v>154</v>
      </c>
      <c r="G111" s="126" t="s">
        <v>111</v>
      </c>
      <c r="H111" s="127">
        <v>3</v>
      </c>
      <c r="I111" s="128">
        <v>0</v>
      </c>
      <c r="J111" s="164">
        <f t="shared" si="0"/>
        <v>0</v>
      </c>
      <c r="L111" s="111"/>
      <c r="M111" s="115"/>
      <c r="O111" s="116"/>
      <c r="Q111" s="116"/>
      <c r="S111" s="117"/>
    </row>
    <row r="112" spans="2:19" s="11" customFormat="1" ht="26.1" customHeight="1">
      <c r="B112" s="162"/>
      <c r="C112" s="123">
        <v>21</v>
      </c>
      <c r="D112" s="123" t="s">
        <v>103</v>
      </c>
      <c r="E112" s="124"/>
      <c r="F112" s="125" t="s">
        <v>155</v>
      </c>
      <c r="G112" s="126" t="s">
        <v>111</v>
      </c>
      <c r="H112" s="127">
        <v>1</v>
      </c>
      <c r="I112" s="128">
        <v>0</v>
      </c>
      <c r="J112" s="164">
        <f t="shared" si="0"/>
        <v>0</v>
      </c>
      <c r="L112" s="111"/>
      <c r="M112" s="115"/>
      <c r="O112" s="116"/>
      <c r="Q112" s="116"/>
      <c r="S112" s="117"/>
    </row>
    <row r="113" spans="2:19" s="11" customFormat="1" ht="26.1" customHeight="1">
      <c r="B113" s="162"/>
      <c r="C113" s="123">
        <v>22</v>
      </c>
      <c r="D113" s="123" t="s">
        <v>103</v>
      </c>
      <c r="E113" s="124"/>
      <c r="F113" s="125" t="s">
        <v>310</v>
      </c>
      <c r="G113" s="126" t="s">
        <v>111</v>
      </c>
      <c r="H113" s="127">
        <v>1</v>
      </c>
      <c r="I113" s="128">
        <v>0</v>
      </c>
      <c r="J113" s="164">
        <f t="shared" si="0"/>
        <v>0</v>
      </c>
      <c r="L113" s="111"/>
      <c r="M113" s="115"/>
      <c r="O113" s="116"/>
      <c r="Q113" s="116"/>
      <c r="S113" s="117"/>
    </row>
    <row r="114" spans="2:19" s="11" customFormat="1" ht="26.1" customHeight="1">
      <c r="B114" s="162"/>
      <c r="C114" s="123">
        <v>23</v>
      </c>
      <c r="D114" s="123" t="s">
        <v>103</v>
      </c>
      <c r="E114" s="124"/>
      <c r="F114" s="125" t="s">
        <v>196</v>
      </c>
      <c r="G114" s="126" t="s">
        <v>111</v>
      </c>
      <c r="H114" s="127">
        <v>1</v>
      </c>
      <c r="I114" s="128">
        <v>0</v>
      </c>
      <c r="J114" s="164">
        <f t="shared" si="0"/>
        <v>0</v>
      </c>
      <c r="L114" s="111"/>
      <c r="M114" s="115"/>
      <c r="O114" s="116"/>
      <c r="Q114" s="116"/>
      <c r="S114" s="117"/>
    </row>
    <row r="115" spans="2:19" s="11" customFormat="1" ht="26.1" customHeight="1">
      <c r="B115" s="162"/>
      <c r="C115" s="123">
        <v>24</v>
      </c>
      <c r="D115" s="123" t="s">
        <v>103</v>
      </c>
      <c r="E115" s="124"/>
      <c r="F115" s="125" t="s">
        <v>197</v>
      </c>
      <c r="G115" s="126" t="s">
        <v>111</v>
      </c>
      <c r="H115" s="127">
        <v>1</v>
      </c>
      <c r="I115" s="128">
        <v>0</v>
      </c>
      <c r="J115" s="164">
        <f t="shared" si="0"/>
        <v>0</v>
      </c>
      <c r="L115" s="111"/>
      <c r="M115" s="115"/>
      <c r="O115" s="116"/>
      <c r="Q115" s="116"/>
      <c r="S115" s="117"/>
    </row>
    <row r="116" spans="2:19" s="11" customFormat="1" ht="26.1" customHeight="1">
      <c r="B116" s="162"/>
      <c r="C116" s="123"/>
      <c r="D116" s="142"/>
      <c r="E116" s="143"/>
      <c r="F116" s="148" t="s">
        <v>264</v>
      </c>
      <c r="G116" s="145"/>
      <c r="H116" s="146"/>
      <c r="I116" s="128"/>
      <c r="J116" s="165"/>
      <c r="L116" s="111"/>
      <c r="M116" s="115"/>
      <c r="O116" s="116"/>
      <c r="Q116" s="116"/>
      <c r="S116" s="117"/>
    </row>
    <row r="117" spans="2:19" s="11" customFormat="1" ht="26.1" customHeight="1">
      <c r="B117" s="162"/>
      <c r="C117" s="123"/>
      <c r="D117" s="142"/>
      <c r="E117" s="143"/>
      <c r="F117" s="120" t="s">
        <v>156</v>
      </c>
      <c r="G117" s="145"/>
      <c r="H117" s="146"/>
      <c r="I117" s="128"/>
      <c r="J117" s="165"/>
      <c r="L117" s="111"/>
      <c r="M117" s="115"/>
      <c r="O117" s="116"/>
      <c r="Q117" s="116"/>
      <c r="S117" s="117"/>
    </row>
    <row r="118" spans="2:19" s="11" customFormat="1" ht="26.1" customHeight="1">
      <c r="B118" s="162"/>
      <c r="C118" s="123">
        <v>25</v>
      </c>
      <c r="D118" s="123" t="s">
        <v>103</v>
      </c>
      <c r="E118" s="124"/>
      <c r="F118" s="125" t="s">
        <v>158</v>
      </c>
      <c r="G118" s="126" t="s">
        <v>106</v>
      </c>
      <c r="H118" s="127">
        <f>3*(9+2)</f>
        <v>33</v>
      </c>
      <c r="I118" s="128">
        <v>0</v>
      </c>
      <c r="J118" s="164">
        <f>ROUND(I118*H118,2)</f>
        <v>0</v>
      </c>
      <c r="L118" s="111"/>
      <c r="M118" s="115"/>
      <c r="O118" s="116"/>
      <c r="Q118" s="116"/>
      <c r="S118" s="117"/>
    </row>
    <row r="119" spans="2:19" s="11" customFormat="1" ht="26.1" customHeight="1">
      <c r="B119" s="162"/>
      <c r="C119" s="123"/>
      <c r="D119" s="142"/>
      <c r="E119" s="143"/>
      <c r="F119" s="148" t="s">
        <v>157</v>
      </c>
      <c r="G119" s="145"/>
      <c r="H119" s="146"/>
      <c r="I119" s="128"/>
      <c r="J119" s="165"/>
      <c r="L119" s="111"/>
      <c r="M119" s="115"/>
      <c r="O119" s="116"/>
      <c r="Q119" s="116"/>
      <c r="S119" s="117"/>
    </row>
    <row r="120" spans="2:19" s="11" customFormat="1" ht="26.1" customHeight="1">
      <c r="B120" s="162"/>
      <c r="C120" s="123">
        <v>26</v>
      </c>
      <c r="D120" s="123" t="s">
        <v>103</v>
      </c>
      <c r="E120" s="124"/>
      <c r="F120" s="125" t="s">
        <v>158</v>
      </c>
      <c r="G120" s="126" t="s">
        <v>106</v>
      </c>
      <c r="H120" s="127">
        <f>4*(5+1+1+6+1.2)</f>
        <v>56.8</v>
      </c>
      <c r="I120" s="128">
        <v>0</v>
      </c>
      <c r="J120" s="164">
        <f>ROUND(I120*H120,2)</f>
        <v>0</v>
      </c>
      <c r="L120" s="111"/>
      <c r="M120" s="115"/>
      <c r="O120" s="116"/>
      <c r="Q120" s="116"/>
      <c r="S120" s="117"/>
    </row>
    <row r="121" spans="2:19" s="11" customFormat="1" ht="26.1" customHeight="1">
      <c r="B121" s="162"/>
      <c r="C121" s="123">
        <v>27</v>
      </c>
      <c r="D121" s="123" t="s">
        <v>103</v>
      </c>
      <c r="E121" s="124"/>
      <c r="F121" s="125" t="s">
        <v>311</v>
      </c>
      <c r="G121" s="126" t="s">
        <v>111</v>
      </c>
      <c r="H121" s="127">
        <v>20</v>
      </c>
      <c r="I121" s="128">
        <v>0</v>
      </c>
      <c r="J121" s="164">
        <f>ROUND(I121*H121,2)</f>
        <v>0</v>
      </c>
      <c r="L121" s="111"/>
      <c r="M121" s="115"/>
      <c r="O121" s="116"/>
      <c r="Q121" s="116"/>
      <c r="S121" s="117"/>
    </row>
    <row r="122" spans="2:19" s="11" customFormat="1" ht="26.1" customHeight="1">
      <c r="B122" s="162"/>
      <c r="C122" s="123">
        <v>28</v>
      </c>
      <c r="D122" s="123" t="s">
        <v>103</v>
      </c>
      <c r="E122" s="124"/>
      <c r="F122" s="125" t="s">
        <v>265</v>
      </c>
      <c r="G122" s="126" t="s">
        <v>108</v>
      </c>
      <c r="H122" s="127">
        <f>4*(1.5+3)</f>
        <v>18</v>
      </c>
      <c r="I122" s="128">
        <v>0</v>
      </c>
      <c r="J122" s="164">
        <f>ROUND(I122*H122,2)</f>
        <v>0</v>
      </c>
      <c r="L122" s="111"/>
      <c r="M122" s="115"/>
      <c r="O122" s="116"/>
      <c r="Q122" s="116"/>
      <c r="S122" s="117"/>
    </row>
    <row r="123" spans="2:19" s="11" customFormat="1" ht="26.1" customHeight="1">
      <c r="B123" s="162"/>
      <c r="C123" s="123"/>
      <c r="D123" s="123"/>
      <c r="E123" s="124"/>
      <c r="F123" s="125"/>
      <c r="G123" s="126"/>
      <c r="H123" s="127"/>
      <c r="I123" s="128"/>
      <c r="J123" s="164"/>
      <c r="L123" s="111"/>
      <c r="M123" s="115"/>
      <c r="O123" s="116"/>
      <c r="Q123" s="116"/>
      <c r="S123" s="117"/>
    </row>
    <row r="124" spans="2:19" s="11" customFormat="1" ht="26.1" customHeight="1">
      <c r="B124" s="162"/>
      <c r="C124" s="123"/>
      <c r="D124" s="123"/>
      <c r="E124" s="124"/>
      <c r="F124" s="120" t="s">
        <v>168</v>
      </c>
      <c r="G124" s="126"/>
      <c r="H124" s="127"/>
      <c r="I124" s="128"/>
      <c r="J124" s="164"/>
      <c r="L124" s="111"/>
      <c r="M124" s="115"/>
      <c r="O124" s="116"/>
      <c r="Q124" s="116"/>
      <c r="S124" s="117"/>
    </row>
    <row r="125" spans="2:19" s="11" customFormat="1" ht="45.75" customHeight="1">
      <c r="B125" s="162"/>
      <c r="C125" s="123">
        <v>29</v>
      </c>
      <c r="D125" s="123" t="s">
        <v>103</v>
      </c>
      <c r="E125" s="124"/>
      <c r="F125" s="125" t="s">
        <v>266</v>
      </c>
      <c r="G125" s="126" t="s">
        <v>106</v>
      </c>
      <c r="H125" s="127">
        <f>H90</f>
        <v>20</v>
      </c>
      <c r="I125" s="128">
        <v>0</v>
      </c>
      <c r="J125" s="164">
        <f>ROUND(I125*H125,2)</f>
        <v>0</v>
      </c>
      <c r="L125" s="111"/>
      <c r="M125" s="115"/>
      <c r="O125" s="116"/>
      <c r="Q125" s="116"/>
      <c r="S125" s="117"/>
    </row>
    <row r="126" spans="2:19" s="11" customFormat="1" ht="26.1" customHeight="1">
      <c r="B126" s="162"/>
      <c r="C126" s="123"/>
      <c r="D126" s="123"/>
      <c r="E126" s="124"/>
      <c r="F126" s="168" t="s">
        <v>169</v>
      </c>
      <c r="G126" s="126"/>
      <c r="H126" s="127"/>
      <c r="I126" s="128"/>
      <c r="J126" s="164"/>
      <c r="L126" s="111"/>
      <c r="M126" s="115"/>
      <c r="O126" s="116"/>
      <c r="Q126" s="116"/>
      <c r="S126" s="117"/>
    </row>
    <row r="127" spans="2:19" s="11" customFormat="1" ht="26.1" customHeight="1">
      <c r="B127" s="162"/>
      <c r="C127" s="123"/>
      <c r="D127" s="123"/>
      <c r="E127" s="124"/>
      <c r="F127" s="125"/>
      <c r="G127" s="126"/>
      <c r="H127" s="127"/>
      <c r="I127" s="128"/>
      <c r="J127" s="164"/>
      <c r="L127" s="111"/>
      <c r="M127" s="115"/>
      <c r="O127" s="116"/>
      <c r="Q127" s="116"/>
      <c r="S127" s="117"/>
    </row>
    <row r="128" spans="2:19" s="11" customFormat="1" ht="26.1" customHeight="1">
      <c r="B128" s="162"/>
      <c r="C128" s="123"/>
      <c r="D128" s="123"/>
      <c r="E128" s="124"/>
      <c r="F128" s="120" t="s">
        <v>159</v>
      </c>
      <c r="G128" s="126"/>
      <c r="H128" s="127"/>
      <c r="I128" s="128"/>
      <c r="J128" s="164"/>
      <c r="L128" s="111"/>
      <c r="M128" s="115"/>
      <c r="O128" s="116"/>
      <c r="Q128" s="116"/>
      <c r="S128" s="117"/>
    </row>
    <row r="129" spans="2:19" s="11" customFormat="1" ht="42" customHeight="1">
      <c r="B129" s="162"/>
      <c r="C129" s="123">
        <v>30</v>
      </c>
      <c r="D129" s="123" t="s">
        <v>103</v>
      </c>
      <c r="E129" s="124"/>
      <c r="F129" s="125" t="s">
        <v>205</v>
      </c>
      <c r="G129" s="126" t="s">
        <v>106</v>
      </c>
      <c r="H129" s="127">
        <f>H87</f>
        <v>20</v>
      </c>
      <c r="I129" s="128">
        <v>0</v>
      </c>
      <c r="J129" s="164">
        <f>ROUND(I129*H129,2)</f>
        <v>0</v>
      </c>
      <c r="L129" s="111"/>
      <c r="M129" s="115"/>
      <c r="O129" s="116"/>
      <c r="Q129" s="116"/>
      <c r="S129" s="117"/>
    </row>
    <row r="130" spans="2:19" s="11" customFormat="1" ht="26.1" customHeight="1">
      <c r="B130" s="162"/>
      <c r="C130" s="123">
        <v>31</v>
      </c>
      <c r="D130" s="123" t="s">
        <v>103</v>
      </c>
      <c r="E130" s="124"/>
      <c r="F130" s="125" t="s">
        <v>202</v>
      </c>
      <c r="G130" s="126" t="s">
        <v>106</v>
      </c>
      <c r="H130" s="127">
        <f>H131</f>
        <v>504</v>
      </c>
      <c r="I130" s="128">
        <v>0</v>
      </c>
      <c r="J130" s="164">
        <f>ROUND(I130*H130,2)</f>
        <v>0</v>
      </c>
      <c r="L130" s="111"/>
      <c r="M130" s="115"/>
      <c r="O130" s="116"/>
      <c r="Q130" s="116"/>
      <c r="S130" s="117"/>
    </row>
    <row r="131" spans="2:19" s="11" customFormat="1" ht="26.1" customHeight="1">
      <c r="B131" s="162"/>
      <c r="C131" s="123">
        <v>32</v>
      </c>
      <c r="D131" s="123" t="s">
        <v>103</v>
      </c>
      <c r="E131" s="124"/>
      <c r="F131" s="125" t="s">
        <v>203</v>
      </c>
      <c r="G131" s="126" t="s">
        <v>106</v>
      </c>
      <c r="H131" s="127">
        <f>H106</f>
        <v>504</v>
      </c>
      <c r="I131" s="128">
        <v>0</v>
      </c>
      <c r="J131" s="164">
        <f>ROUND(I131*H131,2)</f>
        <v>0</v>
      </c>
      <c r="L131" s="111"/>
      <c r="M131" s="115"/>
      <c r="O131" s="116"/>
      <c r="Q131" s="116"/>
      <c r="S131" s="117"/>
    </row>
    <row r="132" spans="2:19" s="11" customFormat="1" ht="26.1" customHeight="1">
      <c r="B132" s="162"/>
      <c r="C132" s="123">
        <v>33</v>
      </c>
      <c r="D132" s="123" t="s">
        <v>103</v>
      </c>
      <c r="E132" s="124"/>
      <c r="F132" s="125" t="s">
        <v>162</v>
      </c>
      <c r="G132" s="126" t="s">
        <v>106</v>
      </c>
      <c r="H132" s="127">
        <f>H97</f>
        <v>180</v>
      </c>
      <c r="I132" s="128">
        <v>0</v>
      </c>
      <c r="J132" s="164">
        <f>ROUND(I132*H132,2)</f>
        <v>0</v>
      </c>
      <c r="L132" s="111"/>
      <c r="M132" s="115"/>
      <c r="O132" s="116"/>
      <c r="Q132" s="116"/>
      <c r="S132" s="117"/>
    </row>
    <row r="133" spans="2:19" s="11" customFormat="1" ht="26.1" customHeight="1">
      <c r="B133" s="162"/>
      <c r="C133" s="123"/>
      <c r="D133" s="142"/>
      <c r="E133" s="143"/>
      <c r="F133" s="148" t="s">
        <v>161</v>
      </c>
      <c r="G133" s="145"/>
      <c r="H133" s="146"/>
      <c r="I133" s="128"/>
      <c r="J133" s="165"/>
      <c r="L133" s="111"/>
      <c r="M133" s="115"/>
      <c r="O133" s="116"/>
      <c r="Q133" s="116"/>
      <c r="S133" s="117"/>
    </row>
    <row r="134" spans="2:19" s="11" customFormat="1" ht="26.1" customHeight="1">
      <c r="B134" s="162"/>
      <c r="C134" s="123">
        <v>34</v>
      </c>
      <c r="D134" s="123" t="s">
        <v>103</v>
      </c>
      <c r="E134" s="124"/>
      <c r="F134" s="125" t="s">
        <v>164</v>
      </c>
      <c r="G134" s="126" t="s">
        <v>111</v>
      </c>
      <c r="H134" s="127">
        <f>2*12</f>
        <v>24</v>
      </c>
      <c r="I134" s="128">
        <v>0</v>
      </c>
      <c r="J134" s="164">
        <f>ROUND(I134*H134,2)</f>
        <v>0</v>
      </c>
      <c r="L134" s="111"/>
      <c r="M134" s="115"/>
      <c r="O134" s="116"/>
      <c r="Q134" s="116"/>
      <c r="S134" s="117"/>
    </row>
    <row r="135" spans="2:19" s="11" customFormat="1" ht="26.1" customHeight="1">
      <c r="B135" s="162"/>
      <c r="C135" s="123"/>
      <c r="D135" s="142"/>
      <c r="E135" s="143"/>
      <c r="F135" s="148" t="s">
        <v>163</v>
      </c>
      <c r="G135" s="145"/>
      <c r="H135" s="146"/>
      <c r="I135" s="128"/>
      <c r="J135" s="165"/>
      <c r="L135" s="111"/>
      <c r="M135" s="115"/>
      <c r="O135" s="116"/>
      <c r="Q135" s="116"/>
      <c r="S135" s="117"/>
    </row>
    <row r="136" spans="2:19" s="11" customFormat="1" ht="26.1" customHeight="1">
      <c r="B136" s="162"/>
      <c r="C136" s="123">
        <v>35</v>
      </c>
      <c r="D136" s="123" t="s">
        <v>103</v>
      </c>
      <c r="E136" s="124"/>
      <c r="F136" s="125" t="s">
        <v>165</v>
      </c>
      <c r="G136" s="126" t="s">
        <v>106</v>
      </c>
      <c r="H136" s="127">
        <f>(H132+H87)*1.15</f>
        <v>229.99999999999997</v>
      </c>
      <c r="I136" s="128">
        <v>0</v>
      </c>
      <c r="J136" s="164">
        <f>ROUND(I136*H136,2)</f>
        <v>0</v>
      </c>
      <c r="L136" s="111"/>
      <c r="M136" s="115"/>
      <c r="O136" s="116"/>
      <c r="Q136" s="116"/>
      <c r="S136" s="117"/>
    </row>
    <row r="137" spans="2:19" s="11" customFormat="1" ht="47.1" customHeight="1">
      <c r="B137" s="162"/>
      <c r="C137" s="123"/>
      <c r="D137" s="142"/>
      <c r="E137" s="143"/>
      <c r="F137" s="148" t="s">
        <v>227</v>
      </c>
      <c r="G137" s="126"/>
      <c r="H137" s="127"/>
      <c r="I137" s="128"/>
      <c r="J137" s="164"/>
      <c r="L137" s="111"/>
      <c r="M137" s="115"/>
      <c r="O137" s="116"/>
      <c r="Q137" s="116"/>
      <c r="S137" s="117"/>
    </row>
    <row r="138" spans="2:19" s="11" customFormat="1" ht="26.1" customHeight="1">
      <c r="B138" s="162"/>
      <c r="C138" s="123">
        <v>36</v>
      </c>
      <c r="D138" s="142"/>
      <c r="E138" s="143"/>
      <c r="F138" s="125" t="s">
        <v>166</v>
      </c>
      <c r="G138" s="126" t="s">
        <v>108</v>
      </c>
      <c r="H138" s="127">
        <f>H98*1.25</f>
        <v>175</v>
      </c>
      <c r="I138" s="128">
        <v>0</v>
      </c>
      <c r="J138" s="164">
        <f aca="true" t="shared" si="1" ref="J138:J143">ROUND(I138*H138,2)</f>
        <v>0</v>
      </c>
      <c r="L138" s="111"/>
      <c r="M138" s="115"/>
      <c r="O138" s="116"/>
      <c r="Q138" s="116"/>
      <c r="S138" s="117"/>
    </row>
    <row r="139" spans="2:19" s="11" customFormat="1" ht="26.1" customHeight="1">
      <c r="B139" s="162"/>
      <c r="C139" s="123">
        <v>37</v>
      </c>
      <c r="D139" s="123" t="s">
        <v>103</v>
      </c>
      <c r="E139" s="124"/>
      <c r="F139" s="125" t="s">
        <v>167</v>
      </c>
      <c r="G139" s="126" t="s">
        <v>106</v>
      </c>
      <c r="H139" s="127">
        <f>(H97+H87)*1.1</f>
        <v>220.00000000000003</v>
      </c>
      <c r="I139" s="128">
        <v>0</v>
      </c>
      <c r="J139" s="164">
        <f t="shared" si="1"/>
        <v>0</v>
      </c>
      <c r="L139" s="111"/>
      <c r="M139" s="115"/>
      <c r="O139" s="116"/>
      <c r="Q139" s="116"/>
      <c r="S139" s="117"/>
    </row>
    <row r="140" spans="2:19" s="11" customFormat="1" ht="26.1" customHeight="1">
      <c r="B140" s="162"/>
      <c r="C140" s="123">
        <v>38</v>
      </c>
      <c r="D140" s="123" t="s">
        <v>103</v>
      </c>
      <c r="E140" s="124"/>
      <c r="F140" s="125" t="s">
        <v>221</v>
      </c>
      <c r="G140" s="126" t="s">
        <v>106</v>
      </c>
      <c r="H140" s="127">
        <f>H131*1.1</f>
        <v>554.4000000000001</v>
      </c>
      <c r="I140" s="128">
        <v>0</v>
      </c>
      <c r="J140" s="164">
        <f t="shared" si="1"/>
        <v>0</v>
      </c>
      <c r="L140" s="111"/>
      <c r="M140" s="115"/>
      <c r="O140" s="116"/>
      <c r="Q140" s="116"/>
      <c r="S140" s="117"/>
    </row>
    <row r="141" spans="2:19" s="11" customFormat="1" ht="26.1" customHeight="1">
      <c r="B141" s="162"/>
      <c r="C141" s="123">
        <v>39</v>
      </c>
      <c r="D141" s="123" t="s">
        <v>103</v>
      </c>
      <c r="E141" s="124"/>
      <c r="F141" s="125" t="s">
        <v>171</v>
      </c>
      <c r="G141" s="126" t="s">
        <v>170</v>
      </c>
      <c r="H141" s="127">
        <v>36</v>
      </c>
      <c r="I141" s="128">
        <v>0</v>
      </c>
      <c r="J141" s="164">
        <f t="shared" si="1"/>
        <v>0</v>
      </c>
      <c r="L141" s="111"/>
      <c r="M141" s="115"/>
      <c r="O141" s="116"/>
      <c r="Q141" s="116"/>
      <c r="S141" s="117"/>
    </row>
    <row r="142" spans="2:19" s="11" customFormat="1" ht="26.1" customHeight="1">
      <c r="B142" s="162"/>
      <c r="C142" s="123"/>
      <c r="D142" s="123" t="s">
        <v>103</v>
      </c>
      <c r="E142" s="124"/>
      <c r="F142" s="125" t="s">
        <v>306</v>
      </c>
      <c r="G142" s="126" t="s">
        <v>106</v>
      </c>
      <c r="H142" s="127">
        <v>500</v>
      </c>
      <c r="I142" s="128">
        <v>0</v>
      </c>
      <c r="J142" s="164">
        <f t="shared" si="1"/>
        <v>0</v>
      </c>
      <c r="L142" s="111"/>
      <c r="M142" s="115"/>
      <c r="O142" s="116"/>
      <c r="Q142" s="116"/>
      <c r="S142" s="117"/>
    </row>
    <row r="143" spans="2:19" s="11" customFormat="1" ht="26.1" customHeight="1">
      <c r="B143" s="162"/>
      <c r="C143" s="123">
        <v>40</v>
      </c>
      <c r="D143" s="123" t="s">
        <v>103</v>
      </c>
      <c r="E143" s="124"/>
      <c r="F143" s="125" t="s">
        <v>200</v>
      </c>
      <c r="G143" s="126" t="s">
        <v>108</v>
      </c>
      <c r="H143" s="127">
        <v>6</v>
      </c>
      <c r="I143" s="128">
        <v>0</v>
      </c>
      <c r="J143" s="164">
        <f t="shared" si="1"/>
        <v>0</v>
      </c>
      <c r="L143" s="111"/>
      <c r="M143" s="115"/>
      <c r="O143" s="116"/>
      <c r="Q143" s="116"/>
      <c r="S143" s="117"/>
    </row>
    <row r="144" spans="2:19" s="11" customFormat="1" ht="26.1" customHeight="1">
      <c r="B144" s="162"/>
      <c r="C144" s="123"/>
      <c r="D144" s="142"/>
      <c r="E144" s="143"/>
      <c r="F144" s="144"/>
      <c r="G144" s="145"/>
      <c r="H144" s="146"/>
      <c r="I144" s="128"/>
      <c r="J144" s="165"/>
      <c r="L144" s="111"/>
      <c r="M144" s="115"/>
      <c r="O144" s="116"/>
      <c r="Q144" s="116"/>
      <c r="S144" s="117"/>
    </row>
    <row r="145" spans="2:19" s="11" customFormat="1" ht="23.1" customHeight="1">
      <c r="B145" s="162"/>
      <c r="C145" s="123"/>
      <c r="D145" s="112" t="s">
        <v>68</v>
      </c>
      <c r="E145" s="120" t="s">
        <v>102</v>
      </c>
      <c r="F145" s="120" t="s">
        <v>110</v>
      </c>
      <c r="I145" s="128"/>
      <c r="J145" s="169"/>
      <c r="L145" s="111"/>
      <c r="M145" s="115"/>
      <c r="O145" s="116">
        <f>SUM(O146:O199)</f>
        <v>22.572000000000003</v>
      </c>
      <c r="Q145" s="116">
        <f>SUM(Q146:Q199)</f>
        <v>2.83968</v>
      </c>
      <c r="S145" s="117">
        <f>SUM(S146:S199)</f>
        <v>0</v>
      </c>
    </row>
    <row r="146" spans="2:19" s="1" customFormat="1" ht="33" customHeight="1">
      <c r="B146" s="170"/>
      <c r="C146" s="123">
        <v>41</v>
      </c>
      <c r="D146" s="123" t="s">
        <v>103</v>
      </c>
      <c r="E146" s="124"/>
      <c r="F146" s="125" t="s">
        <v>217</v>
      </c>
      <c r="G146" s="126" t="s">
        <v>104</v>
      </c>
      <c r="H146" s="127">
        <v>30</v>
      </c>
      <c r="I146" s="128">
        <v>0</v>
      </c>
      <c r="J146" s="164">
        <f>ROUND(I146*H146,2)</f>
        <v>0</v>
      </c>
      <c r="K146" s="151"/>
      <c r="L146" s="26"/>
      <c r="M146" s="130" t="s">
        <v>1</v>
      </c>
      <c r="N146" s="132">
        <v>0.192</v>
      </c>
      <c r="O146" s="132">
        <f>N146*H146</f>
        <v>5.76</v>
      </c>
      <c r="P146" s="132">
        <v>0.02628</v>
      </c>
      <c r="Q146" s="132">
        <f>P146*H146</f>
        <v>0.7884</v>
      </c>
      <c r="R146" s="132">
        <v>0</v>
      </c>
      <c r="S146" s="133">
        <f>R146*H146</f>
        <v>0</v>
      </c>
    </row>
    <row r="147" spans="2:19" s="1" customFormat="1" ht="33" customHeight="1">
      <c r="B147" s="170"/>
      <c r="C147" s="123">
        <v>42</v>
      </c>
      <c r="D147" s="123" t="s">
        <v>103</v>
      </c>
      <c r="E147" s="124"/>
      <c r="F147" s="125" t="s">
        <v>312</v>
      </c>
      <c r="G147" s="126" t="s">
        <v>104</v>
      </c>
      <c r="H147" s="127">
        <v>6</v>
      </c>
      <c r="I147" s="128">
        <v>0</v>
      </c>
      <c r="J147" s="164">
        <f>ROUND(I147*H147,2)</f>
        <v>0</v>
      </c>
      <c r="K147" s="151"/>
      <c r="L147" s="26"/>
      <c r="M147" s="130" t="s">
        <v>1</v>
      </c>
      <c r="N147" s="132">
        <v>0.202</v>
      </c>
      <c r="O147" s="132">
        <f>N147*H147</f>
        <v>1.2120000000000002</v>
      </c>
      <c r="P147" s="132">
        <v>0.03328</v>
      </c>
      <c r="Q147" s="132">
        <f>P147*H147</f>
        <v>0.19967999999999997</v>
      </c>
      <c r="R147" s="132">
        <v>0</v>
      </c>
      <c r="S147" s="133">
        <f>R147*H147</f>
        <v>0</v>
      </c>
    </row>
    <row r="148" spans="2:19" s="1" customFormat="1" ht="64.5" customHeight="1">
      <c r="B148" s="170"/>
      <c r="C148" s="123"/>
      <c r="D148" s="142"/>
      <c r="E148" s="143"/>
      <c r="F148" s="148" t="s">
        <v>174</v>
      </c>
      <c r="G148" s="145"/>
      <c r="H148" s="146"/>
      <c r="I148" s="128"/>
      <c r="J148" s="165"/>
      <c r="K148" s="149"/>
      <c r="L148" s="26"/>
      <c r="M148" s="130"/>
      <c r="N148" s="132"/>
      <c r="O148" s="132"/>
      <c r="P148" s="132"/>
      <c r="Q148" s="132"/>
      <c r="R148" s="132"/>
      <c r="S148" s="133"/>
    </row>
    <row r="149" spans="2:19" s="1" customFormat="1" ht="24.2" customHeight="1">
      <c r="B149" s="170"/>
      <c r="C149" s="123">
        <f>1+C147</f>
        <v>43</v>
      </c>
      <c r="D149" s="123" t="s">
        <v>103</v>
      </c>
      <c r="E149" s="124"/>
      <c r="F149" s="125" t="s">
        <v>186</v>
      </c>
      <c r="G149" s="126" t="s">
        <v>104</v>
      </c>
      <c r="H149" s="127">
        <v>30</v>
      </c>
      <c r="I149" s="128">
        <v>0</v>
      </c>
      <c r="J149" s="164">
        <f>ROUND(I149*H149,2)</f>
        <v>0</v>
      </c>
      <c r="K149" s="151"/>
      <c r="L149" s="26"/>
      <c r="M149" s="130" t="s">
        <v>1</v>
      </c>
      <c r="N149" s="132">
        <v>0.52</v>
      </c>
      <c r="O149" s="132">
        <f>N149*H149</f>
        <v>15.600000000000001</v>
      </c>
      <c r="P149" s="132">
        <v>0.06172</v>
      </c>
      <c r="Q149" s="132">
        <f>P149*H149</f>
        <v>1.8516</v>
      </c>
      <c r="R149" s="132">
        <v>0</v>
      </c>
      <c r="S149" s="133">
        <f>R149*H149</f>
        <v>0</v>
      </c>
    </row>
    <row r="150" spans="2:19" s="1" customFormat="1" ht="24.2" customHeight="1">
      <c r="B150" s="170"/>
      <c r="C150" s="123">
        <v>44</v>
      </c>
      <c r="D150" s="123" t="s">
        <v>103</v>
      </c>
      <c r="E150" s="124"/>
      <c r="F150" s="125" t="s">
        <v>187</v>
      </c>
      <c r="G150" s="126" t="s">
        <v>104</v>
      </c>
      <c r="H150" s="127">
        <v>10</v>
      </c>
      <c r="I150" s="128">
        <v>0</v>
      </c>
      <c r="J150" s="164">
        <f>ROUND(I150*H150,2)</f>
        <v>0</v>
      </c>
      <c r="K150" s="149"/>
      <c r="L150" s="26"/>
      <c r="M150" s="130"/>
      <c r="N150" s="132"/>
      <c r="O150" s="132"/>
      <c r="P150" s="132"/>
      <c r="Q150" s="132"/>
      <c r="R150" s="132"/>
      <c r="S150" s="133"/>
    </row>
    <row r="151" spans="2:19" s="1" customFormat="1" ht="27" customHeight="1">
      <c r="B151" s="170"/>
      <c r="C151" s="123"/>
      <c r="D151" s="123"/>
      <c r="E151" s="124"/>
      <c r="F151" s="148" t="s">
        <v>185</v>
      </c>
      <c r="G151" s="126"/>
      <c r="H151" s="127"/>
      <c r="I151" s="128"/>
      <c r="J151" s="164"/>
      <c r="K151" s="149"/>
      <c r="L151" s="26"/>
      <c r="M151" s="130"/>
      <c r="N151" s="132"/>
      <c r="O151" s="132"/>
      <c r="P151" s="132"/>
      <c r="Q151" s="132"/>
      <c r="R151" s="132"/>
      <c r="S151" s="133"/>
    </row>
    <row r="152" spans="2:19" s="1" customFormat="1" ht="24.2" customHeight="1">
      <c r="B152" s="170"/>
      <c r="C152" s="123">
        <v>45</v>
      </c>
      <c r="D152" s="123" t="s">
        <v>103</v>
      </c>
      <c r="E152" s="124"/>
      <c r="F152" s="125" t="s">
        <v>313</v>
      </c>
      <c r="G152" s="126" t="s">
        <v>104</v>
      </c>
      <c r="H152" s="127">
        <v>21</v>
      </c>
      <c r="I152" s="128">
        <v>0</v>
      </c>
      <c r="J152" s="164">
        <f>ROUND(I152*H152,2)</f>
        <v>0</v>
      </c>
      <c r="K152" s="149"/>
      <c r="L152" s="26"/>
      <c r="M152" s="130"/>
      <c r="N152" s="132"/>
      <c r="O152" s="132"/>
      <c r="P152" s="132"/>
      <c r="Q152" s="132"/>
      <c r="R152" s="132"/>
      <c r="S152" s="133"/>
    </row>
    <row r="153" spans="2:19" s="1" customFormat="1" ht="45" customHeight="1">
      <c r="B153" s="170"/>
      <c r="C153" s="123"/>
      <c r="D153" s="142"/>
      <c r="E153" s="143"/>
      <c r="F153" s="148" t="s">
        <v>189</v>
      </c>
      <c r="G153" s="145"/>
      <c r="H153" s="146"/>
      <c r="I153" s="128"/>
      <c r="J153" s="165"/>
      <c r="K153" s="149"/>
      <c r="L153" s="26"/>
      <c r="M153" s="130"/>
      <c r="N153" s="132"/>
      <c r="O153" s="132"/>
      <c r="P153" s="132"/>
      <c r="Q153" s="132"/>
      <c r="R153" s="132"/>
      <c r="S153" s="133"/>
    </row>
    <row r="154" spans="2:19" s="1" customFormat="1" ht="24.2" customHeight="1">
      <c r="B154" s="170"/>
      <c r="C154" s="123">
        <v>46</v>
      </c>
      <c r="D154" s="123" t="s">
        <v>103</v>
      </c>
      <c r="E154" s="124"/>
      <c r="F154" s="125" t="s">
        <v>188</v>
      </c>
      <c r="G154" s="126" t="s">
        <v>104</v>
      </c>
      <c r="H154" s="127">
        <v>6</v>
      </c>
      <c r="I154" s="128">
        <v>0</v>
      </c>
      <c r="J154" s="164">
        <f>ROUND(I154*H154,2)</f>
        <v>0</v>
      </c>
      <c r="K154" s="149"/>
      <c r="L154" s="26"/>
      <c r="M154" s="130"/>
      <c r="N154" s="132"/>
      <c r="O154" s="132"/>
      <c r="P154" s="132"/>
      <c r="Q154" s="132"/>
      <c r="R154" s="132"/>
      <c r="S154" s="133"/>
    </row>
    <row r="155" spans="2:19" s="1" customFormat="1" ht="65.1" customHeight="1">
      <c r="B155" s="170"/>
      <c r="C155" s="123"/>
      <c r="D155" s="142"/>
      <c r="E155" s="143"/>
      <c r="F155" s="148" t="s">
        <v>173</v>
      </c>
      <c r="G155" s="145"/>
      <c r="H155" s="146"/>
      <c r="I155" s="128"/>
      <c r="J155" s="165"/>
      <c r="K155" s="149"/>
      <c r="L155" s="26"/>
      <c r="M155" s="130"/>
      <c r="N155" s="132"/>
      <c r="O155" s="132"/>
      <c r="P155" s="132"/>
      <c r="Q155" s="132"/>
      <c r="R155" s="132"/>
      <c r="S155" s="133"/>
    </row>
    <row r="156" spans="2:19" s="1" customFormat="1" ht="74.1" customHeight="1">
      <c r="B156" s="170"/>
      <c r="C156" s="123">
        <v>47</v>
      </c>
      <c r="D156" s="123" t="s">
        <v>103</v>
      </c>
      <c r="E156" s="124"/>
      <c r="F156" s="125" t="s">
        <v>204</v>
      </c>
      <c r="G156" s="126" t="s">
        <v>111</v>
      </c>
      <c r="H156" s="127">
        <v>1</v>
      </c>
      <c r="I156" s="128">
        <v>0</v>
      </c>
      <c r="J156" s="164">
        <f>ROUND(I156*H156,2)</f>
        <v>0</v>
      </c>
      <c r="K156" s="149"/>
      <c r="L156" s="26"/>
      <c r="M156" s="130"/>
      <c r="N156" s="132"/>
      <c r="O156" s="132"/>
      <c r="P156" s="132"/>
      <c r="Q156" s="132"/>
      <c r="R156" s="132"/>
      <c r="S156" s="133"/>
    </row>
    <row r="157" spans="2:19" s="1" customFormat="1" ht="24.2" customHeight="1">
      <c r="B157" s="170"/>
      <c r="C157" s="123"/>
      <c r="D157" s="123"/>
      <c r="E157" s="124"/>
      <c r="F157" s="148" t="s">
        <v>190</v>
      </c>
      <c r="G157" s="126"/>
      <c r="H157" s="127"/>
      <c r="I157" s="128"/>
      <c r="J157" s="164"/>
      <c r="K157" s="149"/>
      <c r="L157" s="26"/>
      <c r="M157" s="130"/>
      <c r="N157" s="132"/>
      <c r="O157" s="132"/>
      <c r="P157" s="132"/>
      <c r="Q157" s="132"/>
      <c r="R157" s="132"/>
      <c r="S157" s="133"/>
    </row>
    <row r="158" spans="2:19" s="1" customFormat="1" ht="24.2" customHeight="1">
      <c r="B158" s="170"/>
      <c r="C158" s="123">
        <v>48</v>
      </c>
      <c r="D158" s="123" t="s">
        <v>103</v>
      </c>
      <c r="E158" s="124"/>
      <c r="F158" s="125" t="s">
        <v>211</v>
      </c>
      <c r="G158" s="126" t="s">
        <v>111</v>
      </c>
      <c r="H158" s="127">
        <v>1</v>
      </c>
      <c r="I158" s="128">
        <v>0</v>
      </c>
      <c r="J158" s="164">
        <f>ROUND(I158*H158,2)</f>
        <v>0</v>
      </c>
      <c r="K158" s="149"/>
      <c r="L158" s="26"/>
      <c r="M158" s="130"/>
      <c r="N158" s="132"/>
      <c r="O158" s="132"/>
      <c r="P158" s="132"/>
      <c r="Q158" s="132"/>
      <c r="R158" s="132"/>
      <c r="S158" s="133"/>
    </row>
    <row r="159" spans="2:19" s="1" customFormat="1" ht="24.2" customHeight="1">
      <c r="B159" s="170"/>
      <c r="C159" s="123"/>
      <c r="D159" s="123" t="s">
        <v>103</v>
      </c>
      <c r="E159" s="124"/>
      <c r="F159" s="125" t="s">
        <v>270</v>
      </c>
      <c r="G159" s="126" t="s">
        <v>111</v>
      </c>
      <c r="H159" s="127">
        <v>1</v>
      </c>
      <c r="I159" s="128">
        <v>0</v>
      </c>
      <c r="J159" s="164">
        <f>ROUND(I159*H159,2)</f>
        <v>0</v>
      </c>
      <c r="K159" s="149"/>
      <c r="L159" s="26"/>
      <c r="M159" s="130"/>
      <c r="N159" s="132"/>
      <c r="O159" s="132"/>
      <c r="P159" s="132"/>
      <c r="Q159" s="132"/>
      <c r="R159" s="132"/>
      <c r="S159" s="133"/>
    </row>
    <row r="160" spans="2:19" s="1" customFormat="1" ht="24.2" customHeight="1">
      <c r="B160" s="170"/>
      <c r="C160" s="123"/>
      <c r="D160" s="142"/>
      <c r="E160" s="143"/>
      <c r="F160" s="120" t="s">
        <v>175</v>
      </c>
      <c r="G160" s="145"/>
      <c r="H160" s="146"/>
      <c r="I160" s="128"/>
      <c r="J160" s="165"/>
      <c r="K160" s="149"/>
      <c r="L160" s="26"/>
      <c r="M160" s="130"/>
      <c r="N160" s="132"/>
      <c r="O160" s="132"/>
      <c r="P160" s="132"/>
      <c r="Q160" s="132"/>
      <c r="R160" s="132"/>
      <c r="S160" s="133"/>
    </row>
    <row r="161" spans="2:19" s="1" customFormat="1" ht="24.2" customHeight="1">
      <c r="B161" s="170"/>
      <c r="C161" s="123">
        <v>49</v>
      </c>
      <c r="D161" s="123" t="s">
        <v>103</v>
      </c>
      <c r="E161" s="124"/>
      <c r="F161" s="125" t="s">
        <v>297</v>
      </c>
      <c r="G161" s="126" t="s">
        <v>104</v>
      </c>
      <c r="H161" s="127">
        <v>1</v>
      </c>
      <c r="I161" s="128">
        <v>0</v>
      </c>
      <c r="J161" s="164">
        <f>ROUND(I161*H161,2)</f>
        <v>0</v>
      </c>
      <c r="K161" s="149"/>
      <c r="L161" s="26"/>
      <c r="M161" s="130"/>
      <c r="N161" s="132"/>
      <c r="O161" s="132"/>
      <c r="P161" s="132"/>
      <c r="Q161" s="132"/>
      <c r="R161" s="132"/>
      <c r="S161" s="133"/>
    </row>
    <row r="162" spans="2:19" s="1" customFormat="1" ht="24.2" customHeight="1">
      <c r="B162" s="170"/>
      <c r="C162" s="123">
        <v>50</v>
      </c>
      <c r="D162" s="123" t="s">
        <v>103</v>
      </c>
      <c r="E162" s="124"/>
      <c r="F162" s="125" t="s">
        <v>176</v>
      </c>
      <c r="G162" s="126" t="s">
        <v>104</v>
      </c>
      <c r="H162" s="127">
        <v>12</v>
      </c>
      <c r="I162" s="128">
        <v>0</v>
      </c>
      <c r="J162" s="164">
        <f>ROUND(I162*H162,2)</f>
        <v>0</v>
      </c>
      <c r="K162" s="149"/>
      <c r="L162" s="26"/>
      <c r="M162" s="130"/>
      <c r="N162" s="132"/>
      <c r="O162" s="132"/>
      <c r="P162" s="132"/>
      <c r="Q162" s="132"/>
      <c r="R162" s="132"/>
      <c r="S162" s="133"/>
    </row>
    <row r="163" spans="2:19" s="1" customFormat="1" ht="24.2" customHeight="1">
      <c r="B163" s="170"/>
      <c r="C163" s="123"/>
      <c r="D163" s="142"/>
      <c r="E163" s="143"/>
      <c r="F163" s="148" t="s">
        <v>177</v>
      </c>
      <c r="G163" s="145"/>
      <c r="H163" s="146"/>
      <c r="I163" s="128"/>
      <c r="J163" s="165"/>
      <c r="K163" s="149"/>
      <c r="L163" s="26"/>
      <c r="M163" s="130"/>
      <c r="N163" s="132"/>
      <c r="O163" s="132"/>
      <c r="P163" s="132"/>
      <c r="Q163" s="132"/>
      <c r="R163" s="132"/>
      <c r="S163" s="133"/>
    </row>
    <row r="164" spans="2:19" s="1" customFormat="1" ht="24.2" customHeight="1">
      <c r="B164" s="170"/>
      <c r="C164" s="123">
        <v>51</v>
      </c>
      <c r="D164" s="123" t="s">
        <v>103</v>
      </c>
      <c r="E164" s="124"/>
      <c r="F164" s="125" t="s">
        <v>178</v>
      </c>
      <c r="G164" s="126" t="s">
        <v>104</v>
      </c>
      <c r="H164" s="127">
        <v>5</v>
      </c>
      <c r="I164" s="128">
        <v>0</v>
      </c>
      <c r="J164" s="164">
        <f>ROUND(I164*H164,2)</f>
        <v>0</v>
      </c>
      <c r="K164" s="149"/>
      <c r="L164" s="26"/>
      <c r="M164" s="130"/>
      <c r="N164" s="132"/>
      <c r="O164" s="132"/>
      <c r="P164" s="132"/>
      <c r="Q164" s="132"/>
      <c r="R164" s="132"/>
      <c r="S164" s="133"/>
    </row>
    <row r="165" spans="2:19" s="1" customFormat="1" ht="24.2" customHeight="1">
      <c r="B165" s="170"/>
      <c r="C165" s="123"/>
      <c r="D165" s="142"/>
      <c r="E165" s="143"/>
      <c r="F165" s="148" t="s">
        <v>271</v>
      </c>
      <c r="G165" s="145"/>
      <c r="H165" s="146"/>
      <c r="I165" s="128"/>
      <c r="J165" s="165"/>
      <c r="K165" s="149"/>
      <c r="L165" s="26"/>
      <c r="M165" s="130"/>
      <c r="N165" s="132"/>
      <c r="O165" s="132"/>
      <c r="P165" s="132"/>
      <c r="Q165" s="132"/>
      <c r="R165" s="132"/>
      <c r="S165" s="133"/>
    </row>
    <row r="166" spans="2:19" s="1" customFormat="1" ht="24.2" customHeight="1">
      <c r="B166" s="170"/>
      <c r="C166" s="123">
        <v>52</v>
      </c>
      <c r="D166" s="123" t="s">
        <v>103</v>
      </c>
      <c r="E166" s="124"/>
      <c r="F166" s="125" t="s">
        <v>179</v>
      </c>
      <c r="G166" s="126" t="s">
        <v>104</v>
      </c>
      <c r="H166" s="127">
        <v>2</v>
      </c>
      <c r="I166" s="128">
        <v>0</v>
      </c>
      <c r="J166" s="164">
        <f>ROUND(I166*H166,2)</f>
        <v>0</v>
      </c>
      <c r="K166" s="149"/>
      <c r="L166" s="26"/>
      <c r="M166" s="130"/>
      <c r="N166" s="132"/>
      <c r="O166" s="132"/>
      <c r="P166" s="132"/>
      <c r="Q166" s="132"/>
      <c r="R166" s="132"/>
      <c r="S166" s="133"/>
    </row>
    <row r="167" spans="1:19" s="12" customFormat="1" ht="24">
      <c r="A167" s="1"/>
      <c r="B167" s="171"/>
      <c r="C167" s="123"/>
      <c r="D167" s="142"/>
      <c r="E167" s="143"/>
      <c r="F167" s="148" t="s">
        <v>271</v>
      </c>
      <c r="G167" s="145"/>
      <c r="H167" s="146"/>
      <c r="I167" s="128"/>
      <c r="J167" s="165"/>
      <c r="L167" s="136"/>
      <c r="M167" s="137"/>
      <c r="S167" s="138"/>
    </row>
    <row r="168" spans="2:19" s="12" customFormat="1" ht="12">
      <c r="B168" s="171"/>
      <c r="C168" s="123">
        <v>53</v>
      </c>
      <c r="D168" s="123" t="s">
        <v>103</v>
      </c>
      <c r="E168" s="124"/>
      <c r="F168" s="125" t="s">
        <v>180</v>
      </c>
      <c r="G168" s="126" t="s">
        <v>104</v>
      </c>
      <c r="H168" s="127">
        <v>1</v>
      </c>
      <c r="I168" s="128">
        <v>0</v>
      </c>
      <c r="J168" s="164">
        <f>ROUND(I168*H168,2)</f>
        <v>0</v>
      </c>
      <c r="L168" s="136"/>
      <c r="M168" s="137"/>
      <c r="S168" s="138"/>
    </row>
    <row r="169" spans="2:19" s="12" customFormat="1" ht="12">
      <c r="B169" s="171"/>
      <c r="C169" s="123">
        <v>54</v>
      </c>
      <c r="D169" s="123" t="s">
        <v>103</v>
      </c>
      <c r="E169" s="124"/>
      <c r="F169" s="125" t="s">
        <v>272</v>
      </c>
      <c r="G169" s="126" t="s">
        <v>104</v>
      </c>
      <c r="H169" s="127">
        <v>5</v>
      </c>
      <c r="I169" s="128">
        <v>0</v>
      </c>
      <c r="J169" s="164">
        <f>ROUND(I169*H169,2)</f>
        <v>0</v>
      </c>
      <c r="L169" s="136"/>
      <c r="M169" s="137"/>
      <c r="S169" s="138"/>
    </row>
    <row r="170" spans="2:19" s="12" customFormat="1" ht="12">
      <c r="B170" s="171"/>
      <c r="C170" s="123">
        <v>55</v>
      </c>
      <c r="D170" s="123" t="s">
        <v>103</v>
      </c>
      <c r="E170" s="124"/>
      <c r="F170" s="125" t="s">
        <v>181</v>
      </c>
      <c r="G170" s="126" t="s">
        <v>111</v>
      </c>
      <c r="H170" s="127">
        <v>1</v>
      </c>
      <c r="I170" s="128">
        <v>0</v>
      </c>
      <c r="J170" s="164">
        <f>ROUND(I170*H170,2)</f>
        <v>0</v>
      </c>
      <c r="L170" s="136"/>
      <c r="M170" s="137"/>
      <c r="S170" s="138"/>
    </row>
    <row r="171" spans="2:19" s="12" customFormat="1" ht="26.25" customHeight="1">
      <c r="B171" s="171"/>
      <c r="C171" s="123"/>
      <c r="D171" s="142"/>
      <c r="E171" s="143"/>
      <c r="F171" s="148" t="s">
        <v>191</v>
      </c>
      <c r="G171" s="145"/>
      <c r="H171" s="146"/>
      <c r="I171" s="128"/>
      <c r="J171" s="165"/>
      <c r="L171" s="136"/>
      <c r="M171" s="137"/>
      <c r="S171" s="138"/>
    </row>
    <row r="172" spans="2:19" s="12" customFormat="1" ht="12">
      <c r="B172" s="171"/>
      <c r="C172" s="123">
        <v>56</v>
      </c>
      <c r="D172" s="123" t="s">
        <v>103</v>
      </c>
      <c r="E172" s="124"/>
      <c r="F172" s="125" t="s">
        <v>182</v>
      </c>
      <c r="G172" s="126" t="s">
        <v>111</v>
      </c>
      <c r="H172" s="127">
        <v>1</v>
      </c>
      <c r="I172" s="128">
        <v>0</v>
      </c>
      <c r="J172" s="164">
        <f>ROUND(I172*H172,2)</f>
        <v>0</v>
      </c>
      <c r="L172" s="136"/>
      <c r="M172" s="137"/>
      <c r="S172" s="138"/>
    </row>
    <row r="173" spans="2:19" s="12" customFormat="1" ht="12">
      <c r="B173" s="171"/>
      <c r="C173" s="123"/>
      <c r="D173" s="142"/>
      <c r="E173" s="143"/>
      <c r="F173" s="148" t="s">
        <v>183</v>
      </c>
      <c r="G173" s="145"/>
      <c r="H173" s="146"/>
      <c r="I173" s="128"/>
      <c r="J173" s="165"/>
      <c r="L173" s="136"/>
      <c r="M173" s="137"/>
      <c r="S173" s="138"/>
    </row>
    <row r="174" spans="2:19" s="12" customFormat="1" ht="12">
      <c r="B174" s="171"/>
      <c r="C174" s="123">
        <v>57</v>
      </c>
      <c r="D174" s="123" t="s">
        <v>103</v>
      </c>
      <c r="E174" s="124"/>
      <c r="F174" s="125" t="s">
        <v>296</v>
      </c>
      <c r="G174" s="126" t="s">
        <v>111</v>
      </c>
      <c r="H174" s="127">
        <v>1</v>
      </c>
      <c r="I174" s="128">
        <v>0</v>
      </c>
      <c r="J174" s="164">
        <f>ROUND(I174*H174,2)</f>
        <v>0</v>
      </c>
      <c r="L174" s="136"/>
      <c r="M174" s="137"/>
      <c r="S174" s="138"/>
    </row>
    <row r="175" spans="2:19" s="12" customFormat="1" ht="12">
      <c r="B175" s="171"/>
      <c r="C175" s="123"/>
      <c r="D175" s="142"/>
      <c r="E175" s="143"/>
      <c r="F175" s="148" t="s">
        <v>184</v>
      </c>
      <c r="G175" s="145"/>
      <c r="H175" s="146"/>
      <c r="I175" s="128"/>
      <c r="J175" s="165"/>
      <c r="L175" s="136"/>
      <c r="M175" s="137"/>
      <c r="S175" s="138"/>
    </row>
    <row r="176" spans="2:19" s="12" customFormat="1" ht="12">
      <c r="B176" s="171"/>
      <c r="C176" s="123"/>
      <c r="D176" s="142"/>
      <c r="E176" s="143"/>
      <c r="F176" s="148"/>
      <c r="G176" s="145"/>
      <c r="H176" s="146"/>
      <c r="I176" s="128"/>
      <c r="J176" s="165"/>
      <c r="L176" s="136"/>
      <c r="M176" s="137"/>
      <c r="S176" s="138"/>
    </row>
    <row r="177" spans="2:19" s="12" customFormat="1" ht="12">
      <c r="B177" s="171"/>
      <c r="C177" s="123"/>
      <c r="D177" s="142"/>
      <c r="E177" s="143"/>
      <c r="F177" s="148"/>
      <c r="G177" s="145"/>
      <c r="H177" s="146"/>
      <c r="I177" s="128"/>
      <c r="J177" s="165"/>
      <c r="L177" s="136"/>
      <c r="M177" s="137"/>
      <c r="S177" s="138"/>
    </row>
    <row r="178" spans="2:19" s="12" customFormat="1" ht="12.75">
      <c r="B178" s="171"/>
      <c r="C178" s="123"/>
      <c r="D178" s="142"/>
      <c r="E178" s="143"/>
      <c r="F178" s="120" t="s">
        <v>194</v>
      </c>
      <c r="G178" s="145"/>
      <c r="H178" s="146"/>
      <c r="I178" s="128"/>
      <c r="J178" s="165"/>
      <c r="L178" s="136"/>
      <c r="M178" s="137"/>
      <c r="S178" s="138"/>
    </row>
    <row r="179" spans="2:19" s="12" customFormat="1" ht="24">
      <c r="B179" s="171"/>
      <c r="C179" s="123">
        <v>58</v>
      </c>
      <c r="D179" s="123" t="s">
        <v>103</v>
      </c>
      <c r="E179" s="124"/>
      <c r="F179" s="125" t="s">
        <v>195</v>
      </c>
      <c r="G179" s="126" t="s">
        <v>111</v>
      </c>
      <c r="H179" s="127">
        <v>2</v>
      </c>
      <c r="I179" s="128">
        <v>0</v>
      </c>
      <c r="J179" s="164">
        <f>ROUND(I179*H179,2)</f>
        <v>0</v>
      </c>
      <c r="L179" s="136"/>
      <c r="M179" s="137"/>
      <c r="S179" s="138"/>
    </row>
    <row r="180" spans="2:19" s="12" customFormat="1" ht="12">
      <c r="B180" s="171"/>
      <c r="C180" s="123">
        <v>59</v>
      </c>
      <c r="D180" s="123" t="s">
        <v>103</v>
      </c>
      <c r="E180" s="124"/>
      <c r="F180" s="125" t="s">
        <v>269</v>
      </c>
      <c r="G180" s="126" t="s">
        <v>111</v>
      </c>
      <c r="H180" s="127">
        <v>2</v>
      </c>
      <c r="I180" s="128">
        <v>0</v>
      </c>
      <c r="J180" s="164">
        <f>ROUND(I180*H180,2)</f>
        <v>0</v>
      </c>
      <c r="L180" s="136"/>
      <c r="M180" s="137"/>
      <c r="S180" s="138"/>
    </row>
    <row r="181" spans="2:19" s="12" customFormat="1" ht="12.75" thickBot="1">
      <c r="B181" s="219"/>
      <c r="C181" s="173">
        <v>60</v>
      </c>
      <c r="D181" s="173" t="s">
        <v>103</v>
      </c>
      <c r="E181" s="174"/>
      <c r="F181" s="175" t="s">
        <v>214</v>
      </c>
      <c r="G181" s="176" t="s">
        <v>111</v>
      </c>
      <c r="H181" s="177">
        <v>1</v>
      </c>
      <c r="I181" s="178">
        <v>0</v>
      </c>
      <c r="J181" s="179">
        <f>ROUND(I181*H181,2)</f>
        <v>0</v>
      </c>
      <c r="L181" s="136"/>
      <c r="M181" s="137"/>
      <c r="S181" s="138"/>
    </row>
    <row r="182" spans="3:19" s="12" customFormat="1" ht="12">
      <c r="C182" s="142"/>
      <c r="D182" s="142"/>
      <c r="E182" s="143"/>
      <c r="F182" s="148"/>
      <c r="G182" s="145"/>
      <c r="H182" s="146"/>
      <c r="I182" s="203"/>
      <c r="J182" s="147"/>
      <c r="S182" s="138"/>
    </row>
    <row r="183" spans="3:19" s="12" customFormat="1" ht="12">
      <c r="C183" s="142"/>
      <c r="D183" s="142"/>
      <c r="E183" s="143"/>
      <c r="F183" s="148"/>
      <c r="G183" s="145"/>
      <c r="H183" s="146"/>
      <c r="I183" s="202"/>
      <c r="J183" s="147"/>
      <c r="S183" s="138"/>
    </row>
    <row r="184" spans="3:19" s="12" customFormat="1" ht="12">
      <c r="C184" s="142"/>
      <c r="D184" s="142"/>
      <c r="E184" s="143"/>
      <c r="F184" s="148"/>
      <c r="G184" s="145"/>
      <c r="H184" s="146"/>
      <c r="I184" s="147"/>
      <c r="J184" s="147"/>
      <c r="S184" s="138"/>
    </row>
    <row r="185" spans="3:19" s="12" customFormat="1" ht="12">
      <c r="C185" s="142"/>
      <c r="D185" s="142"/>
      <c r="E185" s="143"/>
      <c r="F185" s="148"/>
      <c r="G185" s="145"/>
      <c r="H185" s="146"/>
      <c r="I185" s="147"/>
      <c r="J185" s="147"/>
      <c r="S185" s="138"/>
    </row>
    <row r="186" spans="3:19" s="12" customFormat="1" ht="12">
      <c r="C186" s="142"/>
      <c r="D186" s="142"/>
      <c r="E186" s="143"/>
      <c r="F186" s="148"/>
      <c r="G186" s="145"/>
      <c r="H186" s="146"/>
      <c r="I186" s="147"/>
      <c r="J186" s="147"/>
      <c r="S186" s="138"/>
    </row>
    <row r="187" spans="3:19" s="12" customFormat="1" ht="12">
      <c r="C187" s="142"/>
      <c r="D187" s="142"/>
      <c r="E187" s="143"/>
      <c r="F187" s="148"/>
      <c r="G187" s="145"/>
      <c r="H187" s="146"/>
      <c r="I187" s="147"/>
      <c r="J187" s="147"/>
      <c r="S187" s="138"/>
    </row>
    <row r="188" spans="3:19" s="12" customFormat="1" ht="12">
      <c r="C188" s="142"/>
      <c r="D188" s="142"/>
      <c r="E188" s="143"/>
      <c r="F188" s="148"/>
      <c r="G188" s="145"/>
      <c r="H188" s="146"/>
      <c r="I188" s="147"/>
      <c r="J188" s="147"/>
      <c r="S188" s="138"/>
    </row>
    <row r="189" spans="3:19" s="12" customFormat="1" ht="12">
      <c r="C189" s="142"/>
      <c r="D189" s="142"/>
      <c r="E189" s="143"/>
      <c r="F189" s="148"/>
      <c r="G189" s="145"/>
      <c r="H189" s="146"/>
      <c r="I189" s="147"/>
      <c r="J189" s="147"/>
      <c r="S189" s="138"/>
    </row>
    <row r="190" spans="3:19" s="12" customFormat="1" ht="12">
      <c r="C190" s="142"/>
      <c r="D190" s="142"/>
      <c r="E190" s="143"/>
      <c r="F190" s="148"/>
      <c r="G190" s="145"/>
      <c r="H190" s="146"/>
      <c r="I190" s="147"/>
      <c r="J190" s="147"/>
      <c r="S190" s="138"/>
    </row>
    <row r="191" spans="3:19" s="12" customFormat="1" ht="12">
      <c r="C191" s="142"/>
      <c r="D191" s="142"/>
      <c r="E191" s="143"/>
      <c r="F191" s="148"/>
      <c r="G191" s="145"/>
      <c r="H191" s="146"/>
      <c r="I191" s="147"/>
      <c r="J191" s="147"/>
      <c r="S191" s="138"/>
    </row>
    <row r="192" spans="3:19" s="12" customFormat="1" ht="12">
      <c r="C192" s="142"/>
      <c r="D192" s="142"/>
      <c r="E192" s="143"/>
      <c r="F192" s="148"/>
      <c r="G192" s="145"/>
      <c r="H192" s="146"/>
      <c r="I192" s="147"/>
      <c r="J192" s="147"/>
      <c r="S192" s="138"/>
    </row>
    <row r="193" spans="3:19" s="12" customFormat="1" ht="12">
      <c r="C193" s="142"/>
      <c r="D193" s="142"/>
      <c r="E193" s="143"/>
      <c r="F193" s="148"/>
      <c r="G193" s="145"/>
      <c r="H193" s="146"/>
      <c r="I193" s="147"/>
      <c r="J193" s="147"/>
      <c r="S193" s="138"/>
    </row>
    <row r="194" spans="3:19" s="12" customFormat="1" ht="12">
      <c r="C194" s="142"/>
      <c r="D194" s="142"/>
      <c r="E194" s="143"/>
      <c r="F194" s="148"/>
      <c r="G194" s="145"/>
      <c r="H194" s="146"/>
      <c r="I194" s="147"/>
      <c r="J194" s="147"/>
      <c r="S194" s="138"/>
    </row>
    <row r="195" spans="3:19" s="12" customFormat="1" ht="12">
      <c r="C195" s="142"/>
      <c r="D195" s="142"/>
      <c r="E195" s="143"/>
      <c r="F195" s="148"/>
      <c r="G195" s="145"/>
      <c r="H195" s="146"/>
      <c r="I195" s="147"/>
      <c r="J195" s="147"/>
      <c r="S195" s="138"/>
    </row>
    <row r="196" spans="3:19" s="12" customFormat="1" ht="12">
      <c r="C196" s="142"/>
      <c r="D196" s="142"/>
      <c r="E196" s="143"/>
      <c r="F196" s="148"/>
      <c r="G196" s="145"/>
      <c r="H196" s="146"/>
      <c r="I196" s="147"/>
      <c r="J196" s="147"/>
      <c r="S196" s="138"/>
    </row>
    <row r="197" spans="3:19" s="12" customFormat="1" ht="12">
      <c r="C197" s="142"/>
      <c r="D197" s="142"/>
      <c r="E197" s="143"/>
      <c r="F197" s="148"/>
      <c r="G197" s="145"/>
      <c r="H197" s="146"/>
      <c r="I197" s="147"/>
      <c r="J197" s="147"/>
      <c r="S197" s="138"/>
    </row>
    <row r="198" spans="3:19" s="12" customFormat="1" ht="12">
      <c r="C198" s="142"/>
      <c r="D198" s="142"/>
      <c r="E198" s="143"/>
      <c r="F198" s="148"/>
      <c r="G198" s="145"/>
      <c r="H198" s="146"/>
      <c r="I198" s="147"/>
      <c r="J198" s="147"/>
      <c r="S198" s="138"/>
    </row>
    <row r="199" spans="3:19" s="12" customFormat="1" ht="12">
      <c r="C199" s="142"/>
      <c r="D199" s="142"/>
      <c r="E199" s="143"/>
      <c r="F199" s="148"/>
      <c r="G199" s="145"/>
      <c r="H199" s="146"/>
      <c r="I199" s="147"/>
      <c r="J199" s="147"/>
      <c r="S199" s="138"/>
    </row>
  </sheetData>
  <autoFilter ref="C81:K199"/>
  <mergeCells count="9">
    <mergeCell ref="E39:H39"/>
    <mergeCell ref="E72:H72"/>
    <mergeCell ref="E74:H74"/>
    <mergeCell ref="L2:T2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U140"/>
  <sheetViews>
    <sheetView showGridLines="0" zoomScale="130" zoomScaleNormal="130" workbookViewId="0" topLeftCell="A131">
      <selection activeCell="L138" sqref="L138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6.140625" style="0" customWidth="1"/>
    <col min="4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140625" style="0" customWidth="1"/>
    <col min="11" max="11" width="22.140625" style="0" hidden="1" customWidth="1"/>
    <col min="12" max="12" width="22.140625" style="0" customWidth="1"/>
    <col min="13" max="13" width="10.7109375" style="0" hidden="1" customWidth="1"/>
    <col min="14" max="19" width="14.140625" style="0" hidden="1" customWidth="1"/>
    <col min="20" max="20" width="16.140625" style="0" hidden="1" customWidth="1"/>
    <col min="21" max="21" width="12.140625" style="0" customWidth="1"/>
    <col min="22" max="22" width="16.140625" style="0" customWidth="1"/>
    <col min="23" max="23" width="14.140625" style="0" customWidth="1"/>
    <col min="25" max="25" width="12.8515625" style="0" customWidth="1"/>
  </cols>
  <sheetData>
    <row r="2" spans="12:21" ht="36.95" customHeight="1">
      <c r="L2" s="257" t="s">
        <v>5</v>
      </c>
      <c r="M2" s="257"/>
      <c r="N2" s="257"/>
      <c r="O2" s="257"/>
      <c r="P2" s="257"/>
      <c r="Q2" s="257"/>
      <c r="R2" s="257"/>
      <c r="S2" s="257"/>
      <c r="T2" s="257"/>
      <c r="U2" s="257"/>
    </row>
    <row r="3" spans="2:1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3" ht="24.95" customHeight="1">
      <c r="B4" s="17"/>
      <c r="D4" s="18" t="s">
        <v>81</v>
      </c>
      <c r="L4" s="17"/>
      <c r="M4" s="81" t="s">
        <v>282</v>
      </c>
    </row>
    <row r="5" spans="2:12" ht="6.95" customHeight="1">
      <c r="B5" s="17"/>
      <c r="L5" s="17"/>
    </row>
    <row r="6" spans="2:12" ht="12" customHeight="1">
      <c r="B6" s="17"/>
      <c r="D6" s="23" t="s">
        <v>13</v>
      </c>
      <c r="L6" s="17"/>
    </row>
    <row r="7" spans="2:12" ht="16.5" customHeight="1">
      <c r="B7" s="17"/>
      <c r="E7" s="254" t="str">
        <f>'Rekapitulace stavby'!K6</f>
        <v>Oprava gynekologicko-porodnické oddělení</v>
      </c>
      <c r="F7" s="254"/>
      <c r="G7" s="254"/>
      <c r="H7" s="254"/>
      <c r="L7" s="17"/>
    </row>
    <row r="8" spans="2:12" s="1" customFormat="1" ht="12" customHeight="1">
      <c r="B8" s="26"/>
      <c r="D8" s="23" t="s">
        <v>82</v>
      </c>
      <c r="L8" s="26"/>
    </row>
    <row r="9" spans="2:12" s="1" customFormat="1" ht="47.25" customHeight="1">
      <c r="B9" s="26"/>
      <c r="E9" s="245" t="s">
        <v>193</v>
      </c>
      <c r="F9" s="245"/>
      <c r="G9" s="245"/>
      <c r="H9" s="245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14</v>
      </c>
      <c r="F11" s="21" t="s">
        <v>1</v>
      </c>
      <c r="I11" s="23" t="s">
        <v>15</v>
      </c>
      <c r="J11" s="21" t="s">
        <v>1</v>
      </c>
      <c r="L11" s="26"/>
    </row>
    <row r="12" spans="2:12" s="1" customFormat="1" ht="12" customHeight="1">
      <c r="B12" s="26"/>
      <c r="D12" s="23" t="s">
        <v>16</v>
      </c>
      <c r="F12" s="21" t="s">
        <v>17</v>
      </c>
      <c r="I12" s="23" t="s">
        <v>18</v>
      </c>
      <c r="J12" s="46">
        <f>'Rekapitulace stavby'!AN8</f>
        <v>45194</v>
      </c>
      <c r="L12" s="26"/>
    </row>
    <row r="13" spans="2:12" s="1" customFormat="1" ht="11.1" customHeight="1">
      <c r="B13" s="26"/>
      <c r="L13" s="26"/>
    </row>
    <row r="14" spans="2:12" s="1" customFormat="1" ht="12" customHeight="1">
      <c r="B14" s="26"/>
      <c r="D14" s="23" t="s">
        <v>19</v>
      </c>
      <c r="I14" s="23" t="s">
        <v>20</v>
      </c>
      <c r="J14" s="21" t="str">
        <f>IF('Rekapitulace stavby'!AN10="","",'Rekapitulace stavby'!AN10)</f>
        <v/>
      </c>
      <c r="L14" s="26"/>
    </row>
    <row r="15" spans="2:12" s="1" customFormat="1" ht="18" customHeight="1">
      <c r="B15" s="26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22</v>
      </c>
      <c r="I17" s="23" t="s">
        <v>20</v>
      </c>
      <c r="J17" s="21" t="str">
        <f>'Rekapitulace stavby'!AN13</f>
        <v/>
      </c>
      <c r="L17" s="26"/>
    </row>
    <row r="18" spans="2:12" s="1" customFormat="1" ht="18" customHeight="1">
      <c r="B18" s="26"/>
      <c r="E18" s="235" t="str">
        <f>'Rekapitulace stavby'!E14</f>
        <v xml:space="preserve"> </v>
      </c>
      <c r="F18" s="235"/>
      <c r="G18" s="235"/>
      <c r="H18" s="235"/>
      <c r="I18" s="23" t="s">
        <v>21</v>
      </c>
      <c r="J18" s="21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23</v>
      </c>
      <c r="I20" s="23" t="s">
        <v>20</v>
      </c>
      <c r="J20" s="21" t="s">
        <v>1</v>
      </c>
      <c r="L20" s="26"/>
    </row>
    <row r="21" spans="2:12" s="1" customFormat="1" ht="18" customHeight="1">
      <c r="B21" s="26"/>
      <c r="E21" s="21" t="s">
        <v>132</v>
      </c>
      <c r="I21" s="23" t="s">
        <v>21</v>
      </c>
      <c r="J21" s="21" t="s">
        <v>1</v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20</v>
      </c>
      <c r="J23" s="21" t="str">
        <f>IF('Rekapitulace stavby'!AN19="","",'Rekapitulace stavby'!AN19)</f>
        <v/>
      </c>
      <c r="L23" s="26"/>
    </row>
    <row r="24" spans="2:12" s="1" customFormat="1" ht="18" customHeight="1">
      <c r="B24" s="26"/>
      <c r="E24" s="21" t="str">
        <f>IF('Rekapitulace stavby'!E20="","",'Rekapitulace stavby'!E20)</f>
        <v xml:space="preserve"> </v>
      </c>
      <c r="I24" s="23" t="s">
        <v>21</v>
      </c>
      <c r="J24" s="21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7" customFormat="1" ht="71.25" customHeight="1">
      <c r="B27" s="82"/>
      <c r="E27" s="238"/>
      <c r="F27" s="238"/>
      <c r="G27" s="238"/>
      <c r="H27" s="238"/>
      <c r="L27" s="82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>
      <c r="B30" s="26"/>
      <c r="D30" s="83" t="s">
        <v>29</v>
      </c>
      <c r="J30" s="59">
        <f>ROUND(J82,2)</f>
        <v>0</v>
      </c>
      <c r="L30" s="26"/>
    </row>
    <row r="33" spans="2:12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26"/>
    </row>
    <row r="34" spans="2:12" s="1" customFormat="1" ht="24.95" customHeight="1">
      <c r="B34" s="26"/>
      <c r="C34" s="18" t="s">
        <v>83</v>
      </c>
      <c r="L34" s="26"/>
    </row>
    <row r="35" spans="2:12" s="1" customFormat="1" ht="6.95" customHeight="1">
      <c r="B35" s="26"/>
      <c r="L35" s="26"/>
    </row>
    <row r="36" spans="2:12" s="1" customFormat="1" ht="12" customHeight="1">
      <c r="B36" s="26"/>
      <c r="C36" s="23" t="s">
        <v>13</v>
      </c>
      <c r="L36" s="26"/>
    </row>
    <row r="37" spans="2:12" s="1" customFormat="1" ht="16.5" customHeight="1">
      <c r="B37" s="26"/>
      <c r="E37" s="254" t="str">
        <f>E7</f>
        <v>Oprava gynekologicko-porodnické oddělení</v>
      </c>
      <c r="F37" s="254"/>
      <c r="G37" s="254"/>
      <c r="H37" s="254"/>
      <c r="L37" s="26"/>
    </row>
    <row r="38" spans="2:12" s="1" customFormat="1" ht="12" customHeight="1">
      <c r="B38" s="26"/>
      <c r="C38" s="23" t="s">
        <v>82</v>
      </c>
      <c r="L38" s="26"/>
    </row>
    <row r="39" spans="2:12" s="1" customFormat="1" ht="16.5" customHeight="1">
      <c r="B39" s="26"/>
      <c r="E39" s="245" t="str">
        <f>E9</f>
        <v>02 Novorozenci</v>
      </c>
      <c r="F39" s="245"/>
      <c r="G39" s="245"/>
      <c r="H39" s="245"/>
      <c r="L39" s="26"/>
    </row>
    <row r="40" spans="2:12" s="1" customFormat="1" ht="6.95" customHeight="1">
      <c r="B40" s="26"/>
      <c r="L40" s="26"/>
    </row>
    <row r="41" spans="2:12" s="1" customFormat="1" ht="12" customHeight="1">
      <c r="B41" s="26"/>
      <c r="C41" s="23" t="s">
        <v>16</v>
      </c>
      <c r="F41" s="21" t="str">
        <f>F12</f>
        <v xml:space="preserve"> </v>
      </c>
      <c r="I41" s="23" t="s">
        <v>18</v>
      </c>
      <c r="J41" s="46">
        <f>IF(J12="","",J12)</f>
        <v>45194</v>
      </c>
      <c r="L41" s="26"/>
    </row>
    <row r="42" spans="2:12" s="1" customFormat="1" ht="6.95" customHeight="1">
      <c r="B42" s="26"/>
      <c r="L42" s="26"/>
    </row>
    <row r="43" spans="2:12" s="1" customFormat="1" ht="15.2" customHeight="1">
      <c r="B43" s="26"/>
      <c r="C43" s="23" t="s">
        <v>19</v>
      </c>
      <c r="F43" s="21" t="str">
        <f>E15</f>
        <v xml:space="preserve"> </v>
      </c>
      <c r="I43" s="23" t="s">
        <v>23</v>
      </c>
      <c r="J43" s="24" t="str">
        <f>E21</f>
        <v>Ing. arch. Jan Ságl</v>
      </c>
      <c r="L43" s="26"/>
    </row>
    <row r="44" spans="2:12" s="1" customFormat="1" ht="15.2" customHeight="1">
      <c r="B44" s="26"/>
      <c r="C44" s="23" t="s">
        <v>22</v>
      </c>
      <c r="F44" s="21" t="str">
        <f>IF(E18="","",E18)</f>
        <v xml:space="preserve"> </v>
      </c>
      <c r="I44" s="23" t="s">
        <v>26</v>
      </c>
      <c r="J44" s="24" t="str">
        <f>E24</f>
        <v xml:space="preserve"> </v>
      </c>
      <c r="L44" s="26"/>
    </row>
    <row r="45" spans="2:12" s="1" customFormat="1" ht="10.35" customHeight="1">
      <c r="B45" s="26"/>
      <c r="L45" s="26"/>
    </row>
    <row r="46" spans="2:12" s="1" customFormat="1" ht="29.25" customHeight="1">
      <c r="B46" s="26"/>
      <c r="C46" s="95" t="s">
        <v>84</v>
      </c>
      <c r="D46" s="87"/>
      <c r="E46" s="87"/>
      <c r="F46" s="87"/>
      <c r="G46" s="87"/>
      <c r="H46" s="87"/>
      <c r="I46" s="87"/>
      <c r="J46" s="96" t="s">
        <v>85</v>
      </c>
      <c r="K46" s="87"/>
      <c r="L46" s="26"/>
    </row>
    <row r="47" spans="2:12" s="1" customFormat="1" ht="10.35" customHeight="1">
      <c r="B47" s="26"/>
      <c r="L47" s="26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26"/>
    </row>
    <row r="49" s="1" customFormat="1" ht="15" customHeight="1"/>
    <row r="50" s="1" customFormat="1" ht="15" customHeight="1"/>
    <row r="51" s="1" customFormat="1" ht="15" customHeight="1"/>
    <row r="52" s="14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ht="15" customHeight="1"/>
    <row r="66" ht="15" customHeight="1"/>
    <row r="67" ht="15" customHeight="1" thickBot="1"/>
    <row r="68" spans="2:12" s="1" customFormat="1" ht="6.95" customHeight="1">
      <c r="B68" s="152"/>
      <c r="C68" s="153"/>
      <c r="D68" s="153"/>
      <c r="E68" s="153"/>
      <c r="F68" s="153"/>
      <c r="G68" s="153"/>
      <c r="H68" s="153"/>
      <c r="I68" s="153"/>
      <c r="J68" s="154"/>
      <c r="K68" s="41"/>
      <c r="L68" s="26"/>
    </row>
    <row r="69" spans="2:12" s="1" customFormat="1" ht="24.95" customHeight="1">
      <c r="B69" s="155"/>
      <c r="C69" s="18" t="s">
        <v>88</v>
      </c>
      <c r="J69" s="156"/>
      <c r="L69" s="26"/>
    </row>
    <row r="70" spans="2:12" s="1" customFormat="1" ht="6.95" customHeight="1">
      <c r="B70" s="155"/>
      <c r="J70" s="156"/>
      <c r="L70" s="26"/>
    </row>
    <row r="71" spans="2:12" s="1" customFormat="1" ht="12" customHeight="1">
      <c r="B71" s="155"/>
      <c r="C71" s="23" t="s">
        <v>13</v>
      </c>
      <c r="J71" s="156"/>
      <c r="L71" s="26"/>
    </row>
    <row r="72" spans="2:12" s="1" customFormat="1" ht="16.5" customHeight="1">
      <c r="B72" s="155"/>
      <c r="E72" s="254" t="str">
        <f>E7</f>
        <v>Oprava gynekologicko-porodnické oddělení</v>
      </c>
      <c r="F72" s="255"/>
      <c r="G72" s="255"/>
      <c r="H72" s="255"/>
      <c r="J72" s="156"/>
      <c r="L72" s="26"/>
    </row>
    <row r="73" spans="2:12" s="1" customFormat="1" ht="12" customHeight="1">
      <c r="B73" s="155"/>
      <c r="C73" s="23" t="s">
        <v>82</v>
      </c>
      <c r="J73" s="156"/>
      <c r="L73" s="26"/>
    </row>
    <row r="74" spans="2:12" s="1" customFormat="1" ht="16.5" customHeight="1">
      <c r="B74" s="155"/>
      <c r="E74" s="245" t="str">
        <f>E9</f>
        <v>02 Novorozenci</v>
      </c>
      <c r="F74" s="256"/>
      <c r="G74" s="256"/>
      <c r="H74" s="256"/>
      <c r="J74" s="156"/>
      <c r="L74" s="26"/>
    </row>
    <row r="75" spans="2:12" s="1" customFormat="1" ht="6.95" customHeight="1">
      <c r="B75" s="155"/>
      <c r="J75" s="156"/>
      <c r="L75" s="26"/>
    </row>
    <row r="76" spans="2:12" s="1" customFormat="1" ht="12" customHeight="1">
      <c r="B76" s="155"/>
      <c r="C76" s="23" t="s">
        <v>16</v>
      </c>
      <c r="F76" s="21" t="str">
        <f>F12</f>
        <v xml:space="preserve"> </v>
      </c>
      <c r="I76" s="23" t="s">
        <v>18</v>
      </c>
      <c r="J76" s="157">
        <f>IF(J12="","",J12)</f>
        <v>45194</v>
      </c>
      <c r="L76" s="26"/>
    </row>
    <row r="77" spans="2:12" s="1" customFormat="1" ht="6.95" customHeight="1">
      <c r="B77" s="155"/>
      <c r="J77" s="156"/>
      <c r="L77" s="26"/>
    </row>
    <row r="78" spans="2:12" s="1" customFormat="1" ht="15.2" customHeight="1">
      <c r="B78" s="155"/>
      <c r="C78" s="23" t="s">
        <v>19</v>
      </c>
      <c r="F78" s="21" t="str">
        <f>E15</f>
        <v xml:space="preserve"> </v>
      </c>
      <c r="I78" s="23" t="s">
        <v>23</v>
      </c>
      <c r="J78" s="158" t="str">
        <f>E21</f>
        <v>Ing. arch. Jan Ságl</v>
      </c>
      <c r="L78" s="26"/>
    </row>
    <row r="79" spans="2:12" s="1" customFormat="1" ht="15.2" customHeight="1">
      <c r="B79" s="155"/>
      <c r="C79" s="23" t="s">
        <v>22</v>
      </c>
      <c r="F79" s="21" t="str">
        <f>IF(E18="","",E18)</f>
        <v xml:space="preserve"> </v>
      </c>
      <c r="I79" s="23" t="s">
        <v>26</v>
      </c>
      <c r="J79" s="158" t="str">
        <f>E24</f>
        <v xml:space="preserve"> </v>
      </c>
      <c r="L79" s="26"/>
    </row>
    <row r="80" spans="2:12" s="1" customFormat="1" ht="10.35" customHeight="1">
      <c r="B80" s="155"/>
      <c r="J80" s="156"/>
      <c r="L80" s="26"/>
    </row>
    <row r="81" spans="2:19" s="10" customFormat="1" ht="29.25" customHeight="1">
      <c r="B81" s="159"/>
      <c r="C81" s="103" t="s">
        <v>89</v>
      </c>
      <c r="D81" s="104" t="s">
        <v>54</v>
      </c>
      <c r="E81" s="104" t="s">
        <v>50</v>
      </c>
      <c r="F81" s="104" t="s">
        <v>51</v>
      </c>
      <c r="G81" s="104" t="s">
        <v>90</v>
      </c>
      <c r="H81" s="104" t="s">
        <v>91</v>
      </c>
      <c r="I81" s="104" t="s">
        <v>92</v>
      </c>
      <c r="J81" s="160" t="s">
        <v>85</v>
      </c>
      <c r="K81" s="106" t="s">
        <v>93</v>
      </c>
      <c r="L81" s="102"/>
      <c r="M81" s="52" t="s">
        <v>1</v>
      </c>
      <c r="N81" s="53" t="s">
        <v>94</v>
      </c>
      <c r="O81" s="53" t="s">
        <v>95</v>
      </c>
      <c r="P81" s="53" t="s">
        <v>96</v>
      </c>
      <c r="Q81" s="53" t="s">
        <v>97</v>
      </c>
      <c r="R81" s="53" t="s">
        <v>98</v>
      </c>
      <c r="S81" s="54" t="s">
        <v>99</v>
      </c>
    </row>
    <row r="82" spans="2:19" s="1" customFormat="1" ht="23.1" customHeight="1">
      <c r="B82" s="155"/>
      <c r="C82" s="57" t="s">
        <v>100</v>
      </c>
      <c r="J82" s="161">
        <f>SUM(J85:J140)</f>
        <v>0</v>
      </c>
      <c r="L82" s="139"/>
      <c r="M82" s="55"/>
      <c r="N82" s="47"/>
      <c r="O82" s="108" t="e">
        <f>#REF!+#REF!</f>
        <v>#REF!</v>
      </c>
      <c r="P82" s="47"/>
      <c r="Q82" s="108" t="e">
        <f>#REF!+#REF!</f>
        <v>#REF!</v>
      </c>
      <c r="R82" s="47"/>
      <c r="S82" s="109" t="e">
        <f>#REF!+#REF!</f>
        <v>#REF!</v>
      </c>
    </row>
    <row r="83" spans="2:19" s="11" customFormat="1" ht="26.1" customHeight="1">
      <c r="B83" s="162"/>
      <c r="D83" s="112"/>
      <c r="E83" s="113"/>
      <c r="F83" s="113"/>
      <c r="J83" s="163"/>
      <c r="L83" s="111"/>
      <c r="M83" s="115"/>
      <c r="O83" s="116"/>
      <c r="Q83" s="116"/>
      <c r="S83" s="117"/>
    </row>
    <row r="84" spans="2:19" s="11" customFormat="1" ht="26.1" customHeight="1">
      <c r="B84" s="162"/>
      <c r="D84" s="112"/>
      <c r="E84" s="113"/>
      <c r="F84" s="120" t="s">
        <v>134</v>
      </c>
      <c r="J84" s="163"/>
      <c r="L84" s="111"/>
      <c r="M84" s="115"/>
      <c r="O84" s="116"/>
      <c r="Q84" s="116"/>
      <c r="S84" s="117"/>
    </row>
    <row r="85" spans="2:19" s="11" customFormat="1" ht="31.5" customHeight="1">
      <c r="B85" s="162"/>
      <c r="C85" s="123">
        <v>1</v>
      </c>
      <c r="D85" s="123" t="s">
        <v>103</v>
      </c>
      <c r="E85" s="124"/>
      <c r="F85" s="125" t="s">
        <v>283</v>
      </c>
      <c r="G85" s="126" t="s">
        <v>111</v>
      </c>
      <c r="H85" s="127">
        <v>1</v>
      </c>
      <c r="I85" s="128">
        <v>0</v>
      </c>
      <c r="J85" s="164">
        <f>ROUND(I85*H85,2)</f>
        <v>0</v>
      </c>
      <c r="L85" s="111"/>
      <c r="M85" s="115"/>
      <c r="O85" s="116"/>
      <c r="Q85" s="116"/>
      <c r="S85" s="117"/>
    </row>
    <row r="86" spans="2:19" s="11" customFormat="1" ht="26.1" customHeight="1">
      <c r="B86" s="162"/>
      <c r="C86" s="123">
        <v>2</v>
      </c>
      <c r="D86" s="123" t="s">
        <v>103</v>
      </c>
      <c r="E86" s="124"/>
      <c r="F86" s="125" t="s">
        <v>284</v>
      </c>
      <c r="G86" s="126" t="s">
        <v>106</v>
      </c>
      <c r="H86" s="127">
        <f>(4+4)*3</f>
        <v>24</v>
      </c>
      <c r="I86" s="128">
        <v>0</v>
      </c>
      <c r="J86" s="164">
        <f>ROUND(I86*H86,2)</f>
        <v>0</v>
      </c>
      <c r="L86" s="111"/>
      <c r="M86" s="115"/>
      <c r="O86" s="116"/>
      <c r="Q86" s="116"/>
      <c r="S86" s="117"/>
    </row>
    <row r="87" spans="2:19" s="11" customFormat="1" ht="26.1" customHeight="1">
      <c r="B87" s="162"/>
      <c r="C87" s="123">
        <v>3</v>
      </c>
      <c r="D87" s="123" t="s">
        <v>103</v>
      </c>
      <c r="E87" s="124"/>
      <c r="F87" s="125" t="s">
        <v>285</v>
      </c>
      <c r="G87" s="126" t="s">
        <v>106</v>
      </c>
      <c r="H87" s="127">
        <v>40</v>
      </c>
      <c r="I87" s="128">
        <v>0</v>
      </c>
      <c r="J87" s="164">
        <f>ROUND(I87*H87,2)</f>
        <v>0</v>
      </c>
      <c r="L87" s="111"/>
      <c r="M87" s="115"/>
      <c r="O87" s="116"/>
      <c r="Q87" s="116"/>
      <c r="S87" s="117"/>
    </row>
    <row r="88" spans="2:19" s="11" customFormat="1" ht="26.1" customHeight="1">
      <c r="B88" s="162"/>
      <c r="C88" s="123"/>
      <c r="D88" s="142"/>
      <c r="E88" s="143"/>
      <c r="F88" s="144"/>
      <c r="G88" s="126" t="s">
        <v>142</v>
      </c>
      <c r="H88" s="127">
        <v>27</v>
      </c>
      <c r="I88" s="147"/>
      <c r="J88" s="165"/>
      <c r="L88" s="111"/>
      <c r="M88" s="115"/>
      <c r="O88" s="116"/>
      <c r="Q88" s="116"/>
      <c r="S88" s="117"/>
    </row>
    <row r="89" spans="2:10" ht="24">
      <c r="B89" s="166"/>
      <c r="F89" s="148" t="s">
        <v>136</v>
      </c>
      <c r="J89" s="167"/>
    </row>
    <row r="90" spans="2:10" ht="12">
      <c r="B90" s="166"/>
      <c r="C90" s="123">
        <v>4</v>
      </c>
      <c r="D90" s="123" t="s">
        <v>103</v>
      </c>
      <c r="E90" s="124"/>
      <c r="F90" s="125" t="s">
        <v>198</v>
      </c>
      <c r="G90" s="126" t="s">
        <v>106</v>
      </c>
      <c r="H90" s="127">
        <v>40</v>
      </c>
      <c r="I90" s="128">
        <v>0</v>
      </c>
      <c r="J90" s="164">
        <f>ROUND(I90*H90,2)</f>
        <v>0</v>
      </c>
    </row>
    <row r="91" spans="2:10" ht="24">
      <c r="B91" s="166"/>
      <c r="C91" s="123">
        <v>5</v>
      </c>
      <c r="D91" s="123" t="s">
        <v>103</v>
      </c>
      <c r="E91" s="124"/>
      <c r="F91" s="125" t="s">
        <v>286</v>
      </c>
      <c r="G91" s="126" t="s">
        <v>111</v>
      </c>
      <c r="H91" s="127">
        <v>1</v>
      </c>
      <c r="I91" s="128">
        <v>0</v>
      </c>
      <c r="J91" s="164">
        <f>ROUND(I91*H91,2)</f>
        <v>0</v>
      </c>
    </row>
    <row r="92" spans="2:10" ht="12">
      <c r="B92" s="166"/>
      <c r="F92" s="148" t="s">
        <v>145</v>
      </c>
      <c r="J92" s="167"/>
    </row>
    <row r="93" spans="2:10" ht="12">
      <c r="B93" s="166"/>
      <c r="C93" s="123">
        <v>6</v>
      </c>
      <c r="D93" s="123" t="s">
        <v>103</v>
      </c>
      <c r="E93" s="124"/>
      <c r="F93" s="125" t="s">
        <v>149</v>
      </c>
      <c r="G93" s="126" t="s">
        <v>111</v>
      </c>
      <c r="H93" s="127">
        <v>3</v>
      </c>
      <c r="I93" s="128">
        <v>0</v>
      </c>
      <c r="J93" s="164">
        <f>ROUND(I93*H93,2)</f>
        <v>0</v>
      </c>
    </row>
    <row r="94" spans="2:10" ht="12">
      <c r="B94" s="166"/>
      <c r="C94" s="123">
        <v>7</v>
      </c>
      <c r="D94" s="123" t="s">
        <v>103</v>
      </c>
      <c r="E94" s="124"/>
      <c r="F94" s="125" t="s">
        <v>231</v>
      </c>
      <c r="G94" s="126" t="s">
        <v>106</v>
      </c>
      <c r="H94" s="127">
        <f>3*27</f>
        <v>81</v>
      </c>
      <c r="I94" s="128">
        <v>0</v>
      </c>
      <c r="J94" s="164">
        <f>ROUND(I94*H94,2)</f>
        <v>0</v>
      </c>
    </row>
    <row r="95" spans="2:10" ht="12">
      <c r="B95" s="166"/>
      <c r="C95" s="123">
        <v>8</v>
      </c>
      <c r="D95" s="123" t="s">
        <v>103</v>
      </c>
      <c r="E95" s="124"/>
      <c r="F95" s="125" t="s">
        <v>150</v>
      </c>
      <c r="G95" s="126" t="s">
        <v>108</v>
      </c>
      <c r="H95" s="127">
        <v>3</v>
      </c>
      <c r="I95" s="128">
        <v>0</v>
      </c>
      <c r="J95" s="164">
        <f>ROUND(I95*H95,2)</f>
        <v>0</v>
      </c>
    </row>
    <row r="96" spans="2:10" ht="12">
      <c r="B96" s="166"/>
      <c r="C96" s="123">
        <v>9</v>
      </c>
      <c r="D96" s="123" t="s">
        <v>103</v>
      </c>
      <c r="E96" s="124"/>
      <c r="F96" s="125" t="s">
        <v>153</v>
      </c>
      <c r="G96" s="126" t="s">
        <v>111</v>
      </c>
      <c r="H96" s="127">
        <v>1</v>
      </c>
      <c r="I96" s="128">
        <v>0</v>
      </c>
      <c r="J96" s="164">
        <f>ROUND(I96*H96,2)</f>
        <v>0</v>
      </c>
    </row>
    <row r="97" spans="2:10" ht="12">
      <c r="B97" s="166"/>
      <c r="C97" s="123">
        <v>10</v>
      </c>
      <c r="D97" s="123" t="s">
        <v>103</v>
      </c>
      <c r="E97" s="124"/>
      <c r="F97" s="125" t="s">
        <v>201</v>
      </c>
      <c r="G97" s="126" t="s">
        <v>111</v>
      </c>
      <c r="H97" s="127">
        <v>1</v>
      </c>
      <c r="I97" s="128">
        <v>0</v>
      </c>
      <c r="J97" s="164">
        <f>ROUND(I97*H97,2)</f>
        <v>0</v>
      </c>
    </row>
    <row r="98" spans="2:10" ht="12">
      <c r="B98" s="166"/>
      <c r="J98" s="167"/>
    </row>
    <row r="99" spans="2:19" s="11" customFormat="1" ht="26.1" customHeight="1">
      <c r="B99" s="162"/>
      <c r="C99" s="123"/>
      <c r="D99" s="142"/>
      <c r="E99" s="143"/>
      <c r="F99" s="120" t="s">
        <v>156</v>
      </c>
      <c r="G99" s="145"/>
      <c r="H99" s="146"/>
      <c r="I99" s="147"/>
      <c r="J99" s="165"/>
      <c r="L99" s="111"/>
      <c r="M99" s="115"/>
      <c r="O99" s="116"/>
      <c r="Q99" s="116"/>
      <c r="S99" s="117"/>
    </row>
    <row r="100" spans="2:19" s="11" customFormat="1" ht="26.1" customHeight="1">
      <c r="B100" s="162"/>
      <c r="C100" s="123">
        <v>11</v>
      </c>
      <c r="D100" s="123" t="s">
        <v>103</v>
      </c>
      <c r="E100" s="124"/>
      <c r="F100" s="125" t="s">
        <v>287</v>
      </c>
      <c r="G100" s="126" t="s">
        <v>106</v>
      </c>
      <c r="H100" s="127">
        <f>3*(3)*2</f>
        <v>18</v>
      </c>
      <c r="I100" s="128">
        <v>0</v>
      </c>
      <c r="J100" s="164">
        <f>ROUND(I100*H100,2)</f>
        <v>0</v>
      </c>
      <c r="L100" s="111"/>
      <c r="M100" s="115"/>
      <c r="O100" s="116"/>
      <c r="Q100" s="116"/>
      <c r="S100" s="117"/>
    </row>
    <row r="101" spans="2:19" s="11" customFormat="1" ht="26.1" customHeight="1">
      <c r="B101" s="162"/>
      <c r="C101" s="123"/>
      <c r="D101" s="123"/>
      <c r="E101" s="124"/>
      <c r="F101" s="120" t="s">
        <v>168</v>
      </c>
      <c r="G101" s="126"/>
      <c r="H101" s="127"/>
      <c r="I101" s="128"/>
      <c r="J101" s="164"/>
      <c r="L101" s="111"/>
      <c r="M101" s="115"/>
      <c r="O101" s="116"/>
      <c r="Q101" s="116"/>
      <c r="S101" s="117"/>
    </row>
    <row r="102" spans="2:19" s="11" customFormat="1" ht="53.1" customHeight="1">
      <c r="B102" s="162"/>
      <c r="C102" s="123">
        <v>12</v>
      </c>
      <c r="D102" s="123" t="s">
        <v>103</v>
      </c>
      <c r="E102" s="124"/>
      <c r="F102" s="125" t="s">
        <v>288</v>
      </c>
      <c r="G102" s="126" t="s">
        <v>106</v>
      </c>
      <c r="H102" s="127">
        <f>H87</f>
        <v>40</v>
      </c>
      <c r="I102" s="128">
        <v>0</v>
      </c>
      <c r="J102" s="164">
        <f>ROUND(I102*H102,2)</f>
        <v>0</v>
      </c>
      <c r="L102" s="111"/>
      <c r="M102" s="115"/>
      <c r="O102" s="116"/>
      <c r="Q102" s="116"/>
      <c r="S102" s="117"/>
    </row>
    <row r="103" spans="2:19" s="11" customFormat="1" ht="26.1" customHeight="1">
      <c r="B103" s="162"/>
      <c r="C103" s="123"/>
      <c r="D103" s="123"/>
      <c r="E103" s="124"/>
      <c r="F103" s="168" t="s">
        <v>289</v>
      </c>
      <c r="G103" s="126"/>
      <c r="H103" s="127"/>
      <c r="I103" s="128"/>
      <c r="J103" s="164"/>
      <c r="L103" s="111"/>
      <c r="M103" s="115"/>
      <c r="O103" s="116"/>
      <c r="Q103" s="116"/>
      <c r="S103" s="117"/>
    </row>
    <row r="104" spans="2:19" s="11" customFormat="1" ht="26.1" customHeight="1">
      <c r="B104" s="162"/>
      <c r="C104" s="123"/>
      <c r="D104" s="123"/>
      <c r="E104" s="124"/>
      <c r="F104" s="120" t="s">
        <v>159</v>
      </c>
      <c r="G104" s="126"/>
      <c r="H104" s="127"/>
      <c r="I104" s="128"/>
      <c r="J104" s="164"/>
      <c r="L104" s="111"/>
      <c r="M104" s="115"/>
      <c r="O104" s="116"/>
      <c r="Q104" s="116"/>
      <c r="S104" s="117"/>
    </row>
    <row r="105" spans="2:19" s="11" customFormat="1" ht="26.1" customHeight="1">
      <c r="B105" s="162"/>
      <c r="C105" s="123">
        <v>13</v>
      </c>
      <c r="D105" s="123" t="s">
        <v>103</v>
      </c>
      <c r="E105" s="124"/>
      <c r="F105" s="125" t="s">
        <v>202</v>
      </c>
      <c r="G105" s="126" t="s">
        <v>106</v>
      </c>
      <c r="H105" s="127">
        <f>H94</f>
        <v>81</v>
      </c>
      <c r="I105" s="128">
        <v>0</v>
      </c>
      <c r="J105" s="164">
        <f>ROUND(I105*H105,2)</f>
        <v>0</v>
      </c>
      <c r="L105" s="111"/>
      <c r="M105" s="115"/>
      <c r="O105" s="116"/>
      <c r="Q105" s="116"/>
      <c r="S105" s="117"/>
    </row>
    <row r="106" spans="2:19" s="11" customFormat="1" ht="26.1" customHeight="1">
      <c r="B106" s="162"/>
      <c r="C106" s="123">
        <v>14</v>
      </c>
      <c r="D106" s="123" t="s">
        <v>103</v>
      </c>
      <c r="E106" s="124"/>
      <c r="F106" s="125" t="s">
        <v>192</v>
      </c>
      <c r="G106" s="126" t="s">
        <v>106</v>
      </c>
      <c r="H106" s="127">
        <f>H105</f>
        <v>81</v>
      </c>
      <c r="I106" s="128">
        <v>0</v>
      </c>
      <c r="J106" s="164">
        <f>ROUND(I106*H106,2)</f>
        <v>0</v>
      </c>
      <c r="L106" s="111"/>
      <c r="M106" s="115"/>
      <c r="O106" s="116"/>
      <c r="Q106" s="116"/>
      <c r="S106" s="117"/>
    </row>
    <row r="107" spans="2:19" s="11" customFormat="1" ht="26.1" customHeight="1">
      <c r="B107" s="162"/>
      <c r="C107" s="123">
        <v>15</v>
      </c>
      <c r="D107" s="123" t="s">
        <v>103</v>
      </c>
      <c r="E107" s="124"/>
      <c r="F107" s="125" t="s">
        <v>162</v>
      </c>
      <c r="G107" s="126" t="s">
        <v>106</v>
      </c>
      <c r="H107" s="127">
        <f>H87</f>
        <v>40</v>
      </c>
      <c r="I107" s="128">
        <v>0</v>
      </c>
      <c r="J107" s="164">
        <f>ROUND(I107*H107,2)</f>
        <v>0</v>
      </c>
      <c r="L107" s="111"/>
      <c r="M107" s="115"/>
      <c r="O107" s="116"/>
      <c r="Q107" s="116"/>
      <c r="S107" s="117"/>
    </row>
    <row r="108" spans="2:19" s="11" customFormat="1" ht="26.1" customHeight="1">
      <c r="B108" s="162"/>
      <c r="C108" s="123"/>
      <c r="D108" s="142"/>
      <c r="E108" s="143"/>
      <c r="F108" s="148" t="s">
        <v>161</v>
      </c>
      <c r="G108" s="145"/>
      <c r="H108" s="146"/>
      <c r="I108" s="147"/>
      <c r="J108" s="165"/>
      <c r="L108" s="111"/>
      <c r="M108" s="115"/>
      <c r="O108" s="116"/>
      <c r="Q108" s="116"/>
      <c r="S108" s="117"/>
    </row>
    <row r="109" spans="2:19" s="11" customFormat="1" ht="26.1" customHeight="1">
      <c r="B109" s="162"/>
      <c r="C109" s="123">
        <v>16</v>
      </c>
      <c r="D109" s="123" t="s">
        <v>103</v>
      </c>
      <c r="E109" s="124"/>
      <c r="F109" s="125" t="s">
        <v>165</v>
      </c>
      <c r="G109" s="126" t="s">
        <v>106</v>
      </c>
      <c r="H109" s="127">
        <f>H115</f>
        <v>40</v>
      </c>
      <c r="I109" s="128">
        <v>0</v>
      </c>
      <c r="J109" s="164">
        <f>ROUND(I109*H109,2)</f>
        <v>0</v>
      </c>
      <c r="L109" s="111"/>
      <c r="M109" s="115"/>
      <c r="O109" s="116"/>
      <c r="Q109" s="116"/>
      <c r="S109" s="117"/>
    </row>
    <row r="110" spans="2:19" s="11" customFormat="1" ht="26.1" customHeight="1">
      <c r="B110" s="162"/>
      <c r="C110" s="123"/>
      <c r="D110" s="142"/>
      <c r="E110" s="143"/>
      <c r="F110" s="148" t="s">
        <v>226</v>
      </c>
      <c r="G110" s="126"/>
      <c r="H110" s="127"/>
      <c r="I110" s="128"/>
      <c r="J110" s="164"/>
      <c r="L110" s="111"/>
      <c r="M110" s="115"/>
      <c r="O110" s="116"/>
      <c r="Q110" s="116"/>
      <c r="S110" s="117"/>
    </row>
    <row r="111" spans="1:19" s="11" customFormat="1" ht="26.1" customHeight="1">
      <c r="A111"/>
      <c r="B111" s="162"/>
      <c r="C111" s="123">
        <v>17</v>
      </c>
      <c r="D111" s="142"/>
      <c r="E111" s="143"/>
      <c r="F111" s="125" t="s">
        <v>166</v>
      </c>
      <c r="G111" s="126" t="s">
        <v>108</v>
      </c>
      <c r="H111" s="127">
        <f>27</f>
        <v>27</v>
      </c>
      <c r="I111" s="128">
        <v>0</v>
      </c>
      <c r="J111" s="164">
        <f>ROUND(I111*H111,2)</f>
        <v>0</v>
      </c>
      <c r="L111" s="111"/>
      <c r="M111" s="115"/>
      <c r="O111" s="116"/>
      <c r="Q111" s="116"/>
      <c r="S111" s="117"/>
    </row>
    <row r="112" spans="2:19" s="11" customFormat="1" ht="26.1" customHeight="1">
      <c r="B112" s="162"/>
      <c r="C112" s="123">
        <v>18</v>
      </c>
      <c r="D112" s="123" t="s">
        <v>103</v>
      </c>
      <c r="E112" s="124"/>
      <c r="F112" s="125" t="s">
        <v>167</v>
      </c>
      <c r="G112" s="126" t="s">
        <v>106</v>
      </c>
      <c r="H112" s="127">
        <f>H109</f>
        <v>40</v>
      </c>
      <c r="I112" s="128">
        <v>0</v>
      </c>
      <c r="J112" s="164">
        <f>ROUND(I112*H112,2)</f>
        <v>0</v>
      </c>
      <c r="L112" s="111"/>
      <c r="M112" s="115"/>
      <c r="O112" s="116"/>
      <c r="Q112" s="116"/>
      <c r="S112" s="117"/>
    </row>
    <row r="113" spans="2:19" s="11" customFormat="1" ht="26.1" customHeight="1">
      <c r="B113" s="162"/>
      <c r="C113" s="123">
        <v>19</v>
      </c>
      <c r="D113" s="123" t="s">
        <v>103</v>
      </c>
      <c r="E113" s="124"/>
      <c r="F113" s="125" t="s">
        <v>221</v>
      </c>
      <c r="G113" s="126" t="s">
        <v>106</v>
      </c>
      <c r="H113" s="127">
        <f>H105</f>
        <v>81</v>
      </c>
      <c r="I113" s="128">
        <v>0</v>
      </c>
      <c r="J113" s="164">
        <f>ROUND(I113*H113,2)</f>
        <v>0</v>
      </c>
      <c r="L113" s="111"/>
      <c r="M113" s="115"/>
      <c r="O113" s="116"/>
      <c r="Q113" s="116"/>
      <c r="S113" s="117"/>
    </row>
    <row r="114" spans="2:19" s="11" customFormat="1" ht="26.1" customHeight="1">
      <c r="B114" s="162"/>
      <c r="C114" s="123">
        <v>20</v>
      </c>
      <c r="D114" s="123" t="s">
        <v>103</v>
      </c>
      <c r="E114" s="124"/>
      <c r="F114" s="125" t="s">
        <v>200</v>
      </c>
      <c r="G114" s="126" t="s">
        <v>111</v>
      </c>
      <c r="H114" s="127">
        <v>2</v>
      </c>
      <c r="I114" s="128">
        <v>0</v>
      </c>
      <c r="J114" s="164">
        <f>ROUND(I114*H114,2)</f>
        <v>0</v>
      </c>
      <c r="L114" s="111"/>
      <c r="M114" s="115"/>
      <c r="O114" s="116"/>
      <c r="Q114" s="116"/>
      <c r="S114" s="117"/>
    </row>
    <row r="115" spans="2:10" ht="36">
      <c r="B115" s="166"/>
      <c r="C115" s="123">
        <v>21</v>
      </c>
      <c r="D115" s="123" t="s">
        <v>103</v>
      </c>
      <c r="E115" s="124"/>
      <c r="F115" s="125" t="s">
        <v>205</v>
      </c>
      <c r="G115" s="126" t="s">
        <v>106</v>
      </c>
      <c r="H115" s="127">
        <f>H102</f>
        <v>40</v>
      </c>
      <c r="I115" s="128">
        <v>0</v>
      </c>
      <c r="J115" s="164">
        <f>ROUND(I115*H115,2)</f>
        <v>0</v>
      </c>
    </row>
    <row r="116" spans="2:19" s="11" customFormat="1" ht="23.1" customHeight="1">
      <c r="B116" s="162"/>
      <c r="C116" s="123"/>
      <c r="D116" s="112" t="s">
        <v>68</v>
      </c>
      <c r="E116" s="120" t="s">
        <v>102</v>
      </c>
      <c r="F116" s="120" t="s">
        <v>110</v>
      </c>
      <c r="J116" s="169"/>
      <c r="L116" s="111"/>
      <c r="M116" s="115"/>
      <c r="O116" s="116">
        <f>SUM(O118:O165)</f>
        <v>2.46</v>
      </c>
      <c r="Q116" s="116">
        <f>SUM(Q118:Q165)</f>
        <v>0.33852</v>
      </c>
      <c r="S116" s="117">
        <f>SUM(S118:S165)</f>
        <v>0</v>
      </c>
    </row>
    <row r="117" spans="2:19" s="11" customFormat="1" ht="23.1" customHeight="1">
      <c r="B117" s="162"/>
      <c r="C117" s="123">
        <v>22</v>
      </c>
      <c r="D117" s="123" t="s">
        <v>103</v>
      </c>
      <c r="E117" s="124"/>
      <c r="F117" s="125" t="s">
        <v>218</v>
      </c>
      <c r="G117" s="126" t="s">
        <v>104</v>
      </c>
      <c r="H117" s="127">
        <f>H133</f>
        <v>1</v>
      </c>
      <c r="I117" s="128">
        <v>0</v>
      </c>
      <c r="J117" s="164">
        <f>ROUND(I117*H117,2)</f>
        <v>0</v>
      </c>
      <c r="L117" s="111"/>
      <c r="M117" s="115"/>
      <c r="O117" s="116"/>
      <c r="Q117" s="116"/>
      <c r="S117" s="117"/>
    </row>
    <row r="118" spans="2:19" s="1" customFormat="1" ht="33" customHeight="1">
      <c r="B118" s="170"/>
      <c r="C118" s="123">
        <v>23</v>
      </c>
      <c r="D118" s="123" t="s">
        <v>103</v>
      </c>
      <c r="E118" s="124"/>
      <c r="F118" s="125" t="s">
        <v>275</v>
      </c>
      <c r="G118" s="126" t="s">
        <v>104</v>
      </c>
      <c r="H118" s="127">
        <v>8</v>
      </c>
      <c r="I118" s="128">
        <v>0</v>
      </c>
      <c r="J118" s="164">
        <f>ROUND(I118*H118,2)</f>
        <v>0</v>
      </c>
      <c r="K118" s="151"/>
      <c r="L118" s="26"/>
      <c r="M118" s="130" t="s">
        <v>1</v>
      </c>
      <c r="N118" s="132">
        <v>0.192</v>
      </c>
      <c r="O118" s="132">
        <f>N118*H118</f>
        <v>1.536</v>
      </c>
      <c r="P118" s="132">
        <v>0.02628</v>
      </c>
      <c r="Q118" s="132">
        <f>P118*H118</f>
        <v>0.21024</v>
      </c>
      <c r="R118" s="132">
        <v>0</v>
      </c>
      <c r="S118" s="133">
        <f>R118*H118</f>
        <v>0</v>
      </c>
    </row>
    <row r="119" spans="2:19" s="1" customFormat="1" ht="33" customHeight="1">
      <c r="B119" s="170"/>
      <c r="C119" s="123"/>
      <c r="D119" s="123" t="s">
        <v>103</v>
      </c>
      <c r="E119" s="124"/>
      <c r="F119" s="125" t="s">
        <v>305</v>
      </c>
      <c r="G119" s="126" t="s">
        <v>104</v>
      </c>
      <c r="H119" s="127">
        <v>1</v>
      </c>
      <c r="I119" s="128">
        <v>0</v>
      </c>
      <c r="J119" s="164">
        <f>I119*H119</f>
        <v>0</v>
      </c>
      <c r="K119" s="151"/>
      <c r="L119" s="26"/>
      <c r="M119" s="130"/>
      <c r="N119" s="132"/>
      <c r="O119" s="132"/>
      <c r="P119" s="132"/>
      <c r="Q119" s="132"/>
      <c r="R119" s="132"/>
      <c r="S119" s="133"/>
    </row>
    <row r="120" spans="2:19" s="1" customFormat="1" ht="33" customHeight="1">
      <c r="B120" s="170"/>
      <c r="C120" s="123">
        <v>24</v>
      </c>
      <c r="D120" s="123" t="s">
        <v>103</v>
      </c>
      <c r="E120" s="124"/>
      <c r="F120" s="125" t="s">
        <v>276</v>
      </c>
      <c r="G120" s="126" t="s">
        <v>104</v>
      </c>
      <c r="H120" s="127">
        <v>2</v>
      </c>
      <c r="I120" s="128">
        <v>0</v>
      </c>
      <c r="J120" s="164">
        <f>ROUND(I120*H120,2)</f>
        <v>0</v>
      </c>
      <c r="K120" s="151"/>
      <c r="L120" s="26"/>
      <c r="M120" s="130" t="s">
        <v>1</v>
      </c>
      <c r="N120" s="132">
        <v>0.202</v>
      </c>
      <c r="O120" s="132">
        <f>N120*H120</f>
        <v>0.404</v>
      </c>
      <c r="P120" s="132">
        <v>0.03328</v>
      </c>
      <c r="Q120" s="132">
        <f>P120*H120</f>
        <v>0.06656</v>
      </c>
      <c r="R120" s="132">
        <v>0</v>
      </c>
      <c r="S120" s="133">
        <f>R120*H120</f>
        <v>0</v>
      </c>
    </row>
    <row r="121" spans="2:19" s="1" customFormat="1" ht="52.5" customHeight="1">
      <c r="B121" s="170"/>
      <c r="C121" s="123"/>
      <c r="D121" s="142"/>
      <c r="E121" s="143"/>
      <c r="F121" s="148" t="s">
        <v>277</v>
      </c>
      <c r="G121" s="145"/>
      <c r="H121" s="146"/>
      <c r="I121" s="147"/>
      <c r="J121" s="165"/>
      <c r="K121" s="149"/>
      <c r="L121" s="26"/>
      <c r="M121" s="130"/>
      <c r="N121" s="132"/>
      <c r="O121" s="132"/>
      <c r="P121" s="132"/>
      <c r="Q121" s="132"/>
      <c r="R121" s="132"/>
      <c r="S121" s="133"/>
    </row>
    <row r="122" spans="2:19" s="1" customFormat="1" ht="24.2" customHeight="1">
      <c r="B122" s="170"/>
      <c r="C122" s="123"/>
      <c r="D122" s="123"/>
      <c r="E122" s="124"/>
      <c r="F122" s="125" t="s">
        <v>207</v>
      </c>
      <c r="G122" s="126" t="s">
        <v>111</v>
      </c>
      <c r="H122" s="127">
        <v>1</v>
      </c>
      <c r="I122" s="128">
        <v>0</v>
      </c>
      <c r="J122" s="164">
        <f aca="true" t="shared" si="0" ref="J122:J127">ROUND(I122*H122,2)</f>
        <v>0</v>
      </c>
      <c r="K122" s="151"/>
      <c r="L122" s="26"/>
      <c r="M122" s="130" t="s">
        <v>1</v>
      </c>
      <c r="N122" s="132">
        <v>0.52</v>
      </c>
      <c r="O122" s="132">
        <f>N122*H122</f>
        <v>0.52</v>
      </c>
      <c r="P122" s="132">
        <v>0.06172</v>
      </c>
      <c r="Q122" s="132">
        <f>P122*H122</f>
        <v>0.06172</v>
      </c>
      <c r="R122" s="132">
        <v>0</v>
      </c>
      <c r="S122" s="133">
        <f>R122*H122</f>
        <v>0</v>
      </c>
    </row>
    <row r="123" spans="2:19" s="1" customFormat="1" ht="24.2" customHeight="1">
      <c r="B123" s="170"/>
      <c r="C123" s="123">
        <v>26</v>
      </c>
      <c r="D123" s="123"/>
      <c r="E123" s="124"/>
      <c r="F123" s="148" t="s">
        <v>273</v>
      </c>
      <c r="G123" s="126" t="s">
        <v>111</v>
      </c>
      <c r="H123" s="127">
        <v>2</v>
      </c>
      <c r="I123" s="128">
        <v>0</v>
      </c>
      <c r="J123" s="164">
        <f t="shared" si="0"/>
        <v>0</v>
      </c>
      <c r="K123" s="149"/>
      <c r="L123" s="26"/>
      <c r="M123" s="130"/>
      <c r="N123" s="132"/>
      <c r="O123" s="132"/>
      <c r="P123" s="132"/>
      <c r="Q123" s="132"/>
      <c r="R123" s="132"/>
      <c r="S123" s="133"/>
    </row>
    <row r="124" spans="2:19" s="1" customFormat="1" ht="24.2" customHeight="1">
      <c r="B124" s="170"/>
      <c r="C124" s="123">
        <v>27</v>
      </c>
      <c r="D124" s="123"/>
      <c r="E124" s="124"/>
      <c r="F124" s="150" t="s">
        <v>274</v>
      </c>
      <c r="G124" s="126" t="s">
        <v>111</v>
      </c>
      <c r="H124" s="127">
        <v>2</v>
      </c>
      <c r="I124" s="128">
        <v>0</v>
      </c>
      <c r="J124" s="164">
        <f t="shared" si="0"/>
        <v>0</v>
      </c>
      <c r="K124" s="149"/>
      <c r="L124" s="26"/>
      <c r="M124" s="130"/>
      <c r="N124" s="132"/>
      <c r="O124" s="132"/>
      <c r="P124" s="132"/>
      <c r="Q124" s="132"/>
      <c r="R124" s="132"/>
      <c r="S124" s="133"/>
    </row>
    <row r="125" spans="2:19" s="1" customFormat="1" ht="24.2" customHeight="1">
      <c r="B125" s="170"/>
      <c r="C125" s="123">
        <v>28</v>
      </c>
      <c r="D125" s="123"/>
      <c r="E125" s="124"/>
      <c r="F125" s="150" t="s">
        <v>208</v>
      </c>
      <c r="G125" s="126" t="s">
        <v>111</v>
      </c>
      <c r="H125" s="127">
        <v>2</v>
      </c>
      <c r="I125" s="128">
        <v>0</v>
      </c>
      <c r="J125" s="164">
        <f t="shared" si="0"/>
        <v>0</v>
      </c>
      <c r="K125" s="149"/>
      <c r="L125" s="26"/>
      <c r="M125" s="130"/>
      <c r="N125" s="132"/>
      <c r="O125" s="132"/>
      <c r="P125" s="132"/>
      <c r="Q125" s="132"/>
      <c r="R125" s="132"/>
      <c r="S125" s="133"/>
    </row>
    <row r="126" spans="2:19" s="1" customFormat="1" ht="24.2" customHeight="1">
      <c r="B126" s="170"/>
      <c r="C126" s="123">
        <v>29</v>
      </c>
      <c r="D126" s="123"/>
      <c r="E126" s="124"/>
      <c r="F126" s="150" t="s">
        <v>210</v>
      </c>
      <c r="G126" s="126" t="s">
        <v>111</v>
      </c>
      <c r="H126" s="127">
        <v>1</v>
      </c>
      <c r="I126" s="128">
        <v>0</v>
      </c>
      <c r="J126" s="164">
        <f t="shared" si="0"/>
        <v>0</v>
      </c>
      <c r="K126" s="149"/>
      <c r="L126" s="26"/>
      <c r="M126" s="130"/>
      <c r="N126" s="132"/>
      <c r="O126" s="132"/>
      <c r="P126" s="132"/>
      <c r="Q126" s="132"/>
      <c r="R126" s="132"/>
      <c r="S126" s="133"/>
    </row>
    <row r="127" spans="2:19" s="1" customFormat="1" ht="24.2" customHeight="1">
      <c r="B127" s="170"/>
      <c r="C127" s="123">
        <v>30</v>
      </c>
      <c r="D127" s="123"/>
      <c r="E127" s="124"/>
      <c r="F127" s="150" t="s">
        <v>209</v>
      </c>
      <c r="G127" s="126" t="s">
        <v>111</v>
      </c>
      <c r="H127" s="127">
        <v>1</v>
      </c>
      <c r="I127" s="128">
        <v>0</v>
      </c>
      <c r="J127" s="164">
        <f t="shared" si="0"/>
        <v>0</v>
      </c>
      <c r="K127" s="149"/>
      <c r="L127" s="26"/>
      <c r="M127" s="130"/>
      <c r="N127" s="132"/>
      <c r="O127" s="132"/>
      <c r="P127" s="132"/>
      <c r="Q127" s="132"/>
      <c r="R127" s="132"/>
      <c r="S127" s="133"/>
    </row>
    <row r="128" spans="2:19" s="1" customFormat="1" ht="27" customHeight="1">
      <c r="B128" s="170"/>
      <c r="C128" s="123">
        <v>31</v>
      </c>
      <c r="D128" s="123"/>
      <c r="E128" s="124"/>
      <c r="F128" s="148" t="s">
        <v>278</v>
      </c>
      <c r="G128" s="126"/>
      <c r="H128" s="127"/>
      <c r="I128" s="128"/>
      <c r="J128" s="164"/>
      <c r="K128" s="149"/>
      <c r="L128" s="26"/>
      <c r="M128" s="130"/>
      <c r="N128" s="132"/>
      <c r="O128" s="132"/>
      <c r="P128" s="132"/>
      <c r="Q128" s="132"/>
      <c r="R128" s="132"/>
      <c r="S128" s="133"/>
    </row>
    <row r="129" spans="2:19" s="1" customFormat="1" ht="24.2" customHeight="1">
      <c r="B129" s="170"/>
      <c r="C129" s="123">
        <v>32</v>
      </c>
      <c r="D129" s="123" t="s">
        <v>103</v>
      </c>
      <c r="E129" s="124"/>
      <c r="F129" s="125" t="s">
        <v>188</v>
      </c>
      <c r="G129" s="126" t="s">
        <v>104</v>
      </c>
      <c r="H129" s="127">
        <v>3</v>
      </c>
      <c r="I129" s="128">
        <v>0</v>
      </c>
      <c r="J129" s="164">
        <f>ROUND(I129*H129,2)</f>
        <v>0</v>
      </c>
      <c r="K129" s="149"/>
      <c r="L129" s="26"/>
      <c r="M129" s="130"/>
      <c r="N129" s="132"/>
      <c r="O129" s="132"/>
      <c r="P129" s="132"/>
      <c r="Q129" s="132"/>
      <c r="R129" s="132"/>
      <c r="S129" s="133"/>
    </row>
    <row r="130" spans="2:19" s="1" customFormat="1" ht="45.95" customHeight="1">
      <c r="B130" s="170"/>
      <c r="C130" s="123"/>
      <c r="D130" s="142"/>
      <c r="E130" s="143"/>
      <c r="F130" s="148" t="s">
        <v>279</v>
      </c>
      <c r="G130" s="145"/>
      <c r="H130" s="146"/>
      <c r="I130" s="147"/>
      <c r="J130" s="165"/>
      <c r="K130" s="149"/>
      <c r="L130" s="26"/>
      <c r="M130" s="130"/>
      <c r="N130" s="132"/>
      <c r="O130" s="132"/>
      <c r="P130" s="132"/>
      <c r="Q130" s="132"/>
      <c r="R130" s="132"/>
      <c r="S130" s="133"/>
    </row>
    <row r="131" spans="2:19" s="1" customFormat="1" ht="24.2" customHeight="1">
      <c r="B131" s="170"/>
      <c r="C131" s="123">
        <v>33</v>
      </c>
      <c r="D131" s="123" t="s">
        <v>103</v>
      </c>
      <c r="E131" s="124"/>
      <c r="F131" s="125" t="s">
        <v>270</v>
      </c>
      <c r="G131" s="126" t="s">
        <v>111</v>
      </c>
      <c r="H131" s="127">
        <v>1</v>
      </c>
      <c r="I131" s="128">
        <v>0</v>
      </c>
      <c r="J131" s="164">
        <f>ROUND(I131*H131,2)</f>
        <v>0</v>
      </c>
      <c r="K131" s="149"/>
      <c r="L131" s="26"/>
      <c r="M131" s="130"/>
      <c r="N131" s="132"/>
      <c r="O131" s="132"/>
      <c r="P131" s="132"/>
      <c r="Q131" s="132"/>
      <c r="R131" s="132"/>
      <c r="S131" s="133"/>
    </row>
    <row r="132" spans="2:19" s="1" customFormat="1" ht="24.2" customHeight="1">
      <c r="B132" s="170"/>
      <c r="C132" s="123"/>
      <c r="D132" s="142"/>
      <c r="E132" s="143"/>
      <c r="F132" s="120" t="s">
        <v>175</v>
      </c>
      <c r="G132" s="145"/>
      <c r="H132" s="146"/>
      <c r="I132" s="147"/>
      <c r="J132" s="165"/>
      <c r="K132" s="149"/>
      <c r="L132" s="26"/>
      <c r="M132" s="130"/>
      <c r="N132" s="132"/>
      <c r="O132" s="132"/>
      <c r="P132" s="132"/>
      <c r="Q132" s="132"/>
      <c r="R132" s="132"/>
      <c r="S132" s="133"/>
    </row>
    <row r="133" spans="2:19" s="1" customFormat="1" ht="24.2" customHeight="1">
      <c r="B133" s="170"/>
      <c r="C133" s="123">
        <v>34</v>
      </c>
      <c r="D133" s="123" t="s">
        <v>103</v>
      </c>
      <c r="E133" s="124"/>
      <c r="F133" s="125" t="s">
        <v>280</v>
      </c>
      <c r="G133" s="126" t="s">
        <v>104</v>
      </c>
      <c r="H133" s="127">
        <v>1</v>
      </c>
      <c r="I133" s="128">
        <v>0</v>
      </c>
      <c r="J133" s="164">
        <f>ROUND(I133*H133,2)</f>
        <v>0</v>
      </c>
      <c r="K133" s="149"/>
      <c r="L133" s="26"/>
      <c r="M133" s="130"/>
      <c r="N133" s="132"/>
      <c r="O133" s="132"/>
      <c r="P133" s="132"/>
      <c r="Q133" s="132"/>
      <c r="R133" s="132"/>
      <c r="S133" s="133"/>
    </row>
    <row r="134" spans="2:19" s="1" customFormat="1" ht="24.2" customHeight="1">
      <c r="B134" s="170"/>
      <c r="C134" s="123">
        <v>35</v>
      </c>
      <c r="D134" s="123" t="s">
        <v>103</v>
      </c>
      <c r="E134" s="124"/>
      <c r="F134" s="125" t="s">
        <v>213</v>
      </c>
      <c r="G134" s="126" t="s">
        <v>106</v>
      </c>
      <c r="H134" s="127">
        <f>3*2.5</f>
        <v>7.5</v>
      </c>
      <c r="I134" s="128">
        <v>0</v>
      </c>
      <c r="J134" s="164">
        <f>ROUND(I134*H134,2)</f>
        <v>0</v>
      </c>
      <c r="K134" s="149"/>
      <c r="L134" s="26"/>
      <c r="M134" s="130"/>
      <c r="N134" s="132"/>
      <c r="O134" s="132"/>
      <c r="P134" s="132"/>
      <c r="Q134" s="132"/>
      <c r="R134" s="132"/>
      <c r="S134" s="133"/>
    </row>
    <row r="135" spans="1:19" s="12" customFormat="1" ht="24">
      <c r="A135" s="1"/>
      <c r="B135" s="171"/>
      <c r="C135" s="123"/>
      <c r="D135" s="142"/>
      <c r="E135" s="143"/>
      <c r="F135" s="148" t="s">
        <v>281</v>
      </c>
      <c r="G135" s="145"/>
      <c r="H135" s="146"/>
      <c r="I135" s="147"/>
      <c r="J135" s="165"/>
      <c r="L135" s="136"/>
      <c r="M135" s="137"/>
      <c r="S135" s="138"/>
    </row>
    <row r="136" spans="1:19" s="12" customFormat="1" ht="12">
      <c r="A136" s="1"/>
      <c r="B136" s="171"/>
      <c r="C136" s="123"/>
      <c r="D136" s="142"/>
      <c r="E136" s="143"/>
      <c r="F136" s="148"/>
      <c r="G136" s="145"/>
      <c r="H136" s="146"/>
      <c r="I136" s="147"/>
      <c r="J136" s="165"/>
      <c r="L136" s="136"/>
      <c r="M136" s="137"/>
      <c r="S136" s="138"/>
    </row>
    <row r="137" spans="2:19" s="12" customFormat="1" ht="12.75">
      <c r="B137" s="171"/>
      <c r="C137" s="123"/>
      <c r="D137" s="142"/>
      <c r="E137" s="143"/>
      <c r="F137" s="120" t="s">
        <v>194</v>
      </c>
      <c r="G137" s="145"/>
      <c r="H137" s="146"/>
      <c r="I137" s="147"/>
      <c r="J137" s="165"/>
      <c r="L137" s="136"/>
      <c r="M137" s="137"/>
      <c r="S137" s="138"/>
    </row>
    <row r="138" spans="2:19" s="12" customFormat="1" ht="24">
      <c r="B138" s="171"/>
      <c r="C138" s="123">
        <v>36</v>
      </c>
      <c r="D138" s="123" t="s">
        <v>103</v>
      </c>
      <c r="E138" s="124"/>
      <c r="F138" s="125" t="s">
        <v>195</v>
      </c>
      <c r="G138" s="126" t="s">
        <v>111</v>
      </c>
      <c r="H138" s="127">
        <v>3</v>
      </c>
      <c r="I138" s="128">
        <v>0</v>
      </c>
      <c r="J138" s="164">
        <f>ROUND(I138*H138,2)</f>
        <v>0</v>
      </c>
      <c r="L138" s="136"/>
      <c r="M138" s="137"/>
      <c r="S138" s="138"/>
    </row>
    <row r="139" spans="2:19" s="12" customFormat="1" ht="12">
      <c r="B139" s="171"/>
      <c r="C139" s="123">
        <v>37</v>
      </c>
      <c r="D139" s="123" t="s">
        <v>103</v>
      </c>
      <c r="E139" s="124"/>
      <c r="F139" s="125" t="s">
        <v>212</v>
      </c>
      <c r="G139" s="126" t="s">
        <v>111</v>
      </c>
      <c r="H139" s="127">
        <v>1</v>
      </c>
      <c r="I139" s="128">
        <v>0</v>
      </c>
      <c r="J139" s="164">
        <f>ROUND(I139*H139,2)</f>
        <v>0</v>
      </c>
      <c r="L139" s="136"/>
      <c r="M139" s="137"/>
      <c r="S139" s="138"/>
    </row>
    <row r="140" spans="2:10" ht="12.75" thickBot="1">
      <c r="B140" s="172"/>
      <c r="C140" s="173">
        <v>38</v>
      </c>
      <c r="D140" s="173" t="s">
        <v>103</v>
      </c>
      <c r="E140" s="174"/>
      <c r="F140" s="175" t="s">
        <v>216</v>
      </c>
      <c r="G140" s="176" t="s">
        <v>111</v>
      </c>
      <c r="H140" s="177">
        <v>1</v>
      </c>
      <c r="I140" s="178">
        <v>0</v>
      </c>
      <c r="J140" s="179">
        <f>ROUND(I140*H140,2)</f>
        <v>0</v>
      </c>
    </row>
  </sheetData>
  <mergeCells count="9">
    <mergeCell ref="E72:H72"/>
    <mergeCell ref="E74:H74"/>
    <mergeCell ref="E39:H39"/>
    <mergeCell ref="L2:U2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K121"/>
  <sheetViews>
    <sheetView showGridLines="0" zoomScale="145" zoomScaleNormal="145" workbookViewId="0" topLeftCell="C106">
      <selection activeCell="F117" sqref="F117"/>
    </sheetView>
  </sheetViews>
  <sheetFormatPr defaultColWidth="9.140625" defaultRowHeight="12"/>
  <cols>
    <col min="6" max="6" width="98.7109375" style="0" customWidth="1"/>
    <col min="8" max="8" width="13.421875" style="0" customWidth="1"/>
    <col min="9" max="9" width="12.00390625" style="0" bestFit="1" customWidth="1"/>
    <col min="10" max="10" width="17.421875" style="0" customWidth="1"/>
    <col min="13" max="13" width="12.00390625" style="0" customWidth="1"/>
    <col min="14" max="14" width="11.00390625" style="0" customWidth="1"/>
    <col min="15" max="15" width="12.00390625" style="0" customWidth="1"/>
    <col min="16" max="16" width="18.421875" style="0" customWidth="1"/>
  </cols>
  <sheetData>
    <row r="1" ht="15" customHeight="1"/>
    <row r="2" spans="2:11" ht="15" customHeight="1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ht="15" customHeight="1">
      <c r="B3" s="190"/>
      <c r="C3" s="16"/>
      <c r="D3" s="16"/>
      <c r="E3" s="16"/>
      <c r="F3" s="16"/>
      <c r="G3" s="16"/>
      <c r="H3" s="16"/>
      <c r="I3" s="16"/>
      <c r="J3" s="16"/>
      <c r="K3" s="191"/>
    </row>
    <row r="4" spans="2:11" ht="15" customHeight="1">
      <c r="B4" s="182"/>
      <c r="D4" s="18" t="s">
        <v>81</v>
      </c>
      <c r="K4" s="183"/>
    </row>
    <row r="5" spans="2:11" ht="15" customHeight="1">
      <c r="B5" s="182"/>
      <c r="K5" s="183"/>
    </row>
    <row r="6" spans="2:11" ht="15" customHeight="1">
      <c r="B6" s="182"/>
      <c r="D6" s="23" t="s">
        <v>13</v>
      </c>
      <c r="K6" s="183"/>
    </row>
    <row r="7" spans="2:11" ht="15" customHeight="1">
      <c r="B7" s="182"/>
      <c r="E7" s="254" t="str">
        <f>'Rekapitulace stavby'!K6</f>
        <v>Oprava gynekologicko-porodnické oddělení</v>
      </c>
      <c r="F7" s="254"/>
      <c r="G7" s="254"/>
      <c r="H7" s="254"/>
      <c r="K7" s="183"/>
    </row>
    <row r="8" spans="2:11" s="1" customFormat="1" ht="15" customHeight="1">
      <c r="B8" s="180"/>
      <c r="D8" s="23" t="s">
        <v>82</v>
      </c>
      <c r="K8" s="181"/>
    </row>
    <row r="9" spans="2:11" s="1" customFormat="1" ht="15" customHeight="1">
      <c r="B9" s="180"/>
      <c r="E9" s="245" t="s">
        <v>219</v>
      </c>
      <c r="F9" s="245"/>
      <c r="G9" s="245"/>
      <c r="H9" s="245"/>
      <c r="K9" s="181"/>
    </row>
    <row r="10" spans="2:11" s="1" customFormat="1" ht="15" customHeight="1">
      <c r="B10" s="180"/>
      <c r="K10" s="181"/>
    </row>
    <row r="11" spans="2:11" s="1" customFormat="1" ht="15" customHeight="1">
      <c r="B11" s="180"/>
      <c r="D11" s="23" t="s">
        <v>14</v>
      </c>
      <c r="F11" s="21" t="s">
        <v>1</v>
      </c>
      <c r="I11" s="23" t="s">
        <v>15</v>
      </c>
      <c r="J11" s="21" t="s">
        <v>1</v>
      </c>
      <c r="K11" s="181"/>
    </row>
    <row r="12" spans="2:11" s="1" customFormat="1" ht="15" customHeight="1">
      <c r="B12" s="180"/>
      <c r="D12" s="23" t="s">
        <v>16</v>
      </c>
      <c r="F12" s="21" t="s">
        <v>17</v>
      </c>
      <c r="I12" s="23" t="s">
        <v>18</v>
      </c>
      <c r="J12" s="46">
        <f>'Rekapitulace stavby'!AN8</f>
        <v>45194</v>
      </c>
      <c r="K12" s="181"/>
    </row>
    <row r="13" spans="2:11" s="1" customFormat="1" ht="15" customHeight="1">
      <c r="B13" s="180"/>
      <c r="K13" s="181"/>
    </row>
    <row r="14" spans="2:11" s="1" customFormat="1" ht="15" customHeight="1">
      <c r="B14" s="180"/>
      <c r="D14" s="23" t="s">
        <v>19</v>
      </c>
      <c r="I14" s="23" t="s">
        <v>20</v>
      </c>
      <c r="J14" s="21" t="str">
        <f>IF('Rekapitulace stavby'!AN10="","",'Rekapitulace stavby'!AN10)</f>
        <v/>
      </c>
      <c r="K14" s="181"/>
    </row>
    <row r="15" spans="2:11" s="1" customFormat="1" ht="15" customHeight="1">
      <c r="B15" s="180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K15" s="181"/>
    </row>
    <row r="16" spans="2:11" s="1" customFormat="1" ht="15" customHeight="1">
      <c r="B16" s="180"/>
      <c r="K16" s="181"/>
    </row>
    <row r="17" spans="2:11" s="1" customFormat="1" ht="15" customHeight="1">
      <c r="B17" s="180"/>
      <c r="D17" s="23" t="s">
        <v>22</v>
      </c>
      <c r="I17" s="23" t="s">
        <v>20</v>
      </c>
      <c r="J17" s="21" t="str">
        <f>'Rekapitulace stavby'!AN13</f>
        <v/>
      </c>
      <c r="K17" s="181"/>
    </row>
    <row r="18" spans="2:11" s="1" customFormat="1" ht="15" customHeight="1">
      <c r="B18" s="180"/>
      <c r="E18" s="235" t="str">
        <f>'Rekapitulace stavby'!E14</f>
        <v xml:space="preserve"> </v>
      </c>
      <c r="F18" s="235"/>
      <c r="G18" s="235"/>
      <c r="H18" s="235"/>
      <c r="I18" s="23" t="s">
        <v>21</v>
      </c>
      <c r="J18" s="21" t="str">
        <f>'Rekapitulace stavby'!AN14</f>
        <v/>
      </c>
      <c r="K18" s="181"/>
    </row>
    <row r="19" spans="2:11" s="1" customFormat="1" ht="15" customHeight="1">
      <c r="B19" s="180"/>
      <c r="K19" s="181"/>
    </row>
    <row r="20" spans="2:11" s="1" customFormat="1" ht="15" customHeight="1">
      <c r="B20" s="180"/>
      <c r="D20" s="23" t="s">
        <v>23</v>
      </c>
      <c r="I20" s="23" t="s">
        <v>20</v>
      </c>
      <c r="J20" s="21" t="s">
        <v>1</v>
      </c>
      <c r="K20" s="181"/>
    </row>
    <row r="21" spans="2:11" s="1" customFormat="1" ht="15" customHeight="1">
      <c r="B21" s="180"/>
      <c r="E21" s="21" t="s">
        <v>132</v>
      </c>
      <c r="I21" s="23" t="s">
        <v>21</v>
      </c>
      <c r="J21" s="21" t="s">
        <v>1</v>
      </c>
      <c r="K21" s="181"/>
    </row>
    <row r="22" spans="2:11" s="1" customFormat="1" ht="15" customHeight="1">
      <c r="B22" s="180"/>
      <c r="K22" s="181"/>
    </row>
    <row r="23" spans="2:11" s="1" customFormat="1" ht="15" customHeight="1">
      <c r="B23" s="180"/>
      <c r="D23" s="23" t="s">
        <v>26</v>
      </c>
      <c r="I23" s="23" t="s">
        <v>20</v>
      </c>
      <c r="J23" s="21" t="str">
        <f>IF('Rekapitulace stavby'!AN19="","",'Rekapitulace stavby'!AN19)</f>
        <v/>
      </c>
      <c r="K23" s="181"/>
    </row>
    <row r="24" spans="2:11" s="1" customFormat="1" ht="15" customHeight="1">
      <c r="B24" s="180"/>
      <c r="E24" s="21" t="str">
        <f>IF('Rekapitulace stavby'!E20="","",'Rekapitulace stavby'!E20)</f>
        <v xml:space="preserve"> </v>
      </c>
      <c r="I24" s="23" t="s">
        <v>21</v>
      </c>
      <c r="J24" s="21" t="str">
        <f>IF('Rekapitulace stavby'!AN20="","",'Rekapitulace stavby'!AN20)</f>
        <v/>
      </c>
      <c r="K24" s="181"/>
    </row>
    <row r="25" spans="2:11" s="1" customFormat="1" ht="15" customHeight="1">
      <c r="B25" s="180"/>
      <c r="K25" s="181"/>
    </row>
    <row r="26" spans="2:11" s="1" customFormat="1" ht="15" customHeight="1">
      <c r="B26" s="180"/>
      <c r="D26" s="23" t="s">
        <v>27</v>
      </c>
      <c r="K26" s="181"/>
    </row>
    <row r="27" spans="2:11" s="7" customFormat="1" ht="15" customHeight="1">
      <c r="B27" s="192"/>
      <c r="E27" s="238"/>
      <c r="F27" s="238"/>
      <c r="G27" s="238"/>
      <c r="H27" s="238"/>
      <c r="K27" s="193"/>
    </row>
    <row r="28" spans="2:11" s="1" customFormat="1" ht="15" customHeight="1">
      <c r="B28" s="180"/>
      <c r="K28" s="181"/>
    </row>
    <row r="29" spans="2:11" s="1" customFormat="1" ht="15" customHeight="1">
      <c r="B29" s="180"/>
      <c r="D29" s="47"/>
      <c r="E29" s="47"/>
      <c r="F29" s="47"/>
      <c r="G29" s="47"/>
      <c r="H29" s="47"/>
      <c r="I29" s="47"/>
      <c r="J29" s="47"/>
      <c r="K29" s="194"/>
    </row>
    <row r="30" spans="2:11" s="1" customFormat="1" ht="15" customHeight="1">
      <c r="B30" s="180"/>
      <c r="D30" s="83" t="s">
        <v>29</v>
      </c>
      <c r="J30" s="59">
        <f>ROUND(J82,2)</f>
        <v>0</v>
      </c>
      <c r="K30" s="181"/>
    </row>
    <row r="31" spans="2:11" ht="15" customHeight="1">
      <c r="B31" s="182"/>
      <c r="K31" s="183"/>
    </row>
    <row r="32" spans="2:11" ht="15" customHeight="1">
      <c r="B32" s="182"/>
      <c r="K32" s="183"/>
    </row>
    <row r="33" spans="2:11" s="1" customFormat="1" ht="15" customHeight="1">
      <c r="B33" s="184"/>
      <c r="C33" s="41"/>
      <c r="D33" s="41"/>
      <c r="E33" s="41"/>
      <c r="F33" s="41"/>
      <c r="G33" s="41"/>
      <c r="H33" s="41"/>
      <c r="I33" s="41"/>
      <c r="J33" s="41"/>
      <c r="K33" s="185"/>
    </row>
    <row r="34" spans="2:11" s="1" customFormat="1" ht="15" customHeight="1">
      <c r="B34" s="180"/>
      <c r="C34" s="18" t="s">
        <v>83</v>
      </c>
      <c r="K34" s="181"/>
    </row>
    <row r="35" spans="2:11" s="1" customFormat="1" ht="15" customHeight="1">
      <c r="B35" s="180"/>
      <c r="K35" s="181"/>
    </row>
    <row r="36" spans="2:11" s="1" customFormat="1" ht="15" customHeight="1">
      <c r="B36" s="180"/>
      <c r="C36" s="23" t="s">
        <v>13</v>
      </c>
      <c r="K36" s="181"/>
    </row>
    <row r="37" spans="2:11" s="1" customFormat="1" ht="15" customHeight="1">
      <c r="B37" s="180"/>
      <c r="E37" s="254" t="str">
        <f>E7</f>
        <v>Oprava gynekologicko-porodnické oddělení</v>
      </c>
      <c r="F37" s="254"/>
      <c r="G37" s="254"/>
      <c r="H37" s="254"/>
      <c r="K37" s="181"/>
    </row>
    <row r="38" spans="2:11" s="1" customFormat="1" ht="15" customHeight="1">
      <c r="B38" s="180"/>
      <c r="C38" s="23" t="s">
        <v>82</v>
      </c>
      <c r="K38" s="181"/>
    </row>
    <row r="39" spans="2:11" s="1" customFormat="1" ht="15" customHeight="1">
      <c r="B39" s="180"/>
      <c r="E39" s="245" t="str">
        <f>E9</f>
        <v>03 Denní místnost</v>
      </c>
      <c r="F39" s="245"/>
      <c r="G39" s="245"/>
      <c r="H39" s="245"/>
      <c r="K39" s="181"/>
    </row>
    <row r="40" spans="2:11" s="1" customFormat="1" ht="15" customHeight="1">
      <c r="B40" s="180"/>
      <c r="K40" s="181"/>
    </row>
    <row r="41" spans="2:11" s="1" customFormat="1" ht="15" customHeight="1">
      <c r="B41" s="180"/>
      <c r="C41" s="23" t="s">
        <v>16</v>
      </c>
      <c r="F41" s="21" t="str">
        <f>F12</f>
        <v xml:space="preserve"> </v>
      </c>
      <c r="I41" s="23" t="s">
        <v>18</v>
      </c>
      <c r="J41" s="46">
        <f>IF(J12="","",J12)</f>
        <v>45194</v>
      </c>
      <c r="K41" s="181"/>
    </row>
    <row r="42" spans="2:11" s="1" customFormat="1" ht="15" customHeight="1">
      <c r="B42" s="180"/>
      <c r="K42" s="181"/>
    </row>
    <row r="43" spans="2:11" s="1" customFormat="1" ht="15" customHeight="1">
      <c r="B43" s="180"/>
      <c r="C43" s="23" t="s">
        <v>19</v>
      </c>
      <c r="F43" s="21" t="str">
        <f>E15</f>
        <v xml:space="preserve"> </v>
      </c>
      <c r="I43" s="23" t="s">
        <v>23</v>
      </c>
      <c r="J43" s="24" t="str">
        <f>E21</f>
        <v>Ing. arch. Jan Ságl</v>
      </c>
      <c r="K43" s="181"/>
    </row>
    <row r="44" spans="2:11" s="1" customFormat="1" ht="15" customHeight="1">
      <c r="B44" s="180"/>
      <c r="C44" s="23" t="s">
        <v>22</v>
      </c>
      <c r="F44" s="21" t="str">
        <f>IF(E18="","",E18)</f>
        <v xml:space="preserve"> </v>
      </c>
      <c r="I44" s="23" t="s">
        <v>26</v>
      </c>
      <c r="J44" s="24" t="str">
        <f>E24</f>
        <v xml:space="preserve"> </v>
      </c>
      <c r="K44" s="181"/>
    </row>
    <row r="45" spans="2:11" s="1" customFormat="1" ht="15" customHeight="1">
      <c r="B45" s="180"/>
      <c r="K45" s="181"/>
    </row>
    <row r="46" spans="2:11" s="1" customFormat="1" ht="15" customHeight="1">
      <c r="B46" s="180"/>
      <c r="C46" s="95" t="s">
        <v>84</v>
      </c>
      <c r="D46" s="87"/>
      <c r="E46" s="87"/>
      <c r="F46" s="87"/>
      <c r="G46" s="87"/>
      <c r="H46" s="87"/>
      <c r="I46" s="87"/>
      <c r="J46" s="96" t="s">
        <v>85</v>
      </c>
      <c r="K46" s="195"/>
    </row>
    <row r="47" spans="2:11" s="1" customFormat="1" ht="15" customHeight="1">
      <c r="B47" s="180"/>
      <c r="K47" s="181"/>
    </row>
    <row r="48" spans="2:11" s="1" customFormat="1" ht="15" customHeight="1">
      <c r="B48" s="196"/>
      <c r="C48" s="197"/>
      <c r="D48" s="197"/>
      <c r="E48" s="197"/>
      <c r="F48" s="197"/>
      <c r="G48" s="197"/>
      <c r="H48" s="197"/>
      <c r="I48" s="197"/>
      <c r="J48" s="197"/>
      <c r="K48" s="198"/>
    </row>
    <row r="49" spans="1:11" s="8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9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9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9" customFormat="1" ht="1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1" s="9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9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9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9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9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8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9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9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9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9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9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9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9" customFormat="1" ht="15" customHeight="1">
      <c r="A65"/>
      <c r="B65"/>
      <c r="C65"/>
      <c r="D65"/>
      <c r="E65"/>
      <c r="F65"/>
      <c r="G65"/>
      <c r="H65"/>
      <c r="I65"/>
      <c r="J65"/>
      <c r="K65"/>
    </row>
    <row r="66" spans="1:11" s="9" customFormat="1" ht="15" customHeight="1">
      <c r="A66"/>
      <c r="B66"/>
      <c r="C66"/>
      <c r="D66"/>
      <c r="E66"/>
      <c r="F66"/>
      <c r="G66"/>
      <c r="H66"/>
      <c r="I66"/>
      <c r="J66"/>
      <c r="K66"/>
    </row>
    <row r="67" spans="1:11" s="9" customFormat="1" ht="15" customHeight="1" thickBo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15" customHeight="1">
      <c r="A68" s="1"/>
      <c r="B68" s="152"/>
      <c r="C68" s="153"/>
      <c r="D68" s="153"/>
      <c r="E68" s="153"/>
      <c r="F68" s="153"/>
      <c r="G68" s="153"/>
      <c r="H68" s="153"/>
      <c r="I68" s="153"/>
      <c r="J68" s="154"/>
      <c r="K68" s="41"/>
    </row>
    <row r="69" spans="1:11" s="9" customFormat="1" ht="15" customHeight="1">
      <c r="A69" s="1"/>
      <c r="B69" s="155"/>
      <c r="C69" s="18" t="s">
        <v>88</v>
      </c>
      <c r="D69" s="1"/>
      <c r="E69" s="1"/>
      <c r="F69" s="1"/>
      <c r="G69" s="1"/>
      <c r="H69" s="1"/>
      <c r="I69" s="1"/>
      <c r="J69" s="156"/>
      <c r="K69" s="1"/>
    </row>
    <row r="70" spans="1:11" s="9" customFormat="1" ht="15" customHeight="1">
      <c r="A70" s="1"/>
      <c r="B70" s="155"/>
      <c r="C70" s="1"/>
      <c r="D70" s="1"/>
      <c r="E70" s="1"/>
      <c r="F70" s="1"/>
      <c r="G70" s="1"/>
      <c r="H70" s="1"/>
      <c r="I70" s="1"/>
      <c r="J70" s="156"/>
      <c r="K70" s="1"/>
    </row>
    <row r="71" spans="1:11" s="9" customFormat="1" ht="15" customHeight="1">
      <c r="A71" s="1"/>
      <c r="B71" s="155"/>
      <c r="C71" s="23" t="s">
        <v>13</v>
      </c>
      <c r="D71" s="1"/>
      <c r="E71" s="1"/>
      <c r="F71" s="1"/>
      <c r="G71" s="1"/>
      <c r="H71" s="1"/>
      <c r="I71" s="1"/>
      <c r="J71" s="156"/>
      <c r="K71" s="1"/>
    </row>
    <row r="72" spans="1:11" s="9" customFormat="1" ht="15" customHeight="1">
      <c r="A72" s="1"/>
      <c r="B72" s="155"/>
      <c r="C72" s="1"/>
      <c r="D72" s="1"/>
      <c r="E72" s="254" t="str">
        <f>E7</f>
        <v>Oprava gynekologicko-porodnické oddělení</v>
      </c>
      <c r="F72" s="255"/>
      <c r="G72" s="255"/>
      <c r="H72" s="255"/>
      <c r="I72" s="1"/>
      <c r="J72" s="156"/>
      <c r="K72" s="1"/>
    </row>
    <row r="73" spans="1:11" s="9" customFormat="1" ht="15" customHeight="1">
      <c r="A73" s="1"/>
      <c r="B73" s="155"/>
      <c r="C73" s="23" t="s">
        <v>82</v>
      </c>
      <c r="D73" s="1"/>
      <c r="E73" s="1"/>
      <c r="F73" s="1"/>
      <c r="G73" s="1"/>
      <c r="H73" s="1"/>
      <c r="I73" s="1"/>
      <c r="J73" s="156"/>
      <c r="K73" s="1"/>
    </row>
    <row r="74" spans="2:10" s="1" customFormat="1" ht="15" customHeight="1">
      <c r="B74" s="155"/>
      <c r="E74" s="245" t="str">
        <f>E9</f>
        <v>03 Denní místnost</v>
      </c>
      <c r="F74" s="256"/>
      <c r="G74" s="256"/>
      <c r="H74" s="256"/>
      <c r="J74" s="156"/>
    </row>
    <row r="75" spans="2:10" s="1" customFormat="1" ht="15" customHeight="1">
      <c r="B75" s="155"/>
      <c r="J75" s="156"/>
    </row>
    <row r="76" spans="2:10" s="1" customFormat="1" ht="15" customHeight="1">
      <c r="B76" s="155"/>
      <c r="C76" s="23" t="s">
        <v>16</v>
      </c>
      <c r="F76" s="21" t="str">
        <f>F12</f>
        <v xml:space="preserve"> </v>
      </c>
      <c r="I76" s="23" t="s">
        <v>18</v>
      </c>
      <c r="J76" s="157">
        <f>IF(J12="","",J12)</f>
        <v>45194</v>
      </c>
    </row>
    <row r="77" spans="2:10" s="1" customFormat="1" ht="15" customHeight="1">
      <c r="B77" s="155"/>
      <c r="J77" s="156"/>
    </row>
    <row r="78" spans="2:10" s="1" customFormat="1" ht="15" customHeight="1">
      <c r="B78" s="155"/>
      <c r="C78" s="23" t="s">
        <v>19</v>
      </c>
      <c r="F78" s="21" t="str">
        <f>E15</f>
        <v xml:space="preserve"> </v>
      </c>
      <c r="I78" s="23" t="s">
        <v>23</v>
      </c>
      <c r="J78" s="158" t="str">
        <f>E21</f>
        <v>Ing. arch. Jan Ságl</v>
      </c>
    </row>
    <row r="79" spans="1:11" s="141" customFormat="1" ht="15" customHeight="1">
      <c r="A79" s="1"/>
      <c r="B79" s="155"/>
      <c r="C79" s="23" t="s">
        <v>22</v>
      </c>
      <c r="D79" s="1"/>
      <c r="E79" s="1"/>
      <c r="F79" s="21" t="str">
        <f>IF(E18="","",E18)</f>
        <v xml:space="preserve"> </v>
      </c>
      <c r="G79" s="1"/>
      <c r="H79" s="1"/>
      <c r="I79" s="23" t="s">
        <v>26</v>
      </c>
      <c r="J79" s="158" t="str">
        <f>E24</f>
        <v xml:space="preserve"> </v>
      </c>
      <c r="K79" s="1"/>
    </row>
    <row r="80" spans="2:10" s="1" customFormat="1" ht="15" customHeight="1">
      <c r="B80" s="155"/>
      <c r="J80" s="156"/>
    </row>
    <row r="81" spans="1:11" s="1" customFormat="1" ht="15" customHeight="1">
      <c r="A81" s="10"/>
      <c r="B81" s="159"/>
      <c r="C81" s="103" t="s">
        <v>89</v>
      </c>
      <c r="D81" s="104" t="s">
        <v>54</v>
      </c>
      <c r="E81" s="104" t="s">
        <v>50</v>
      </c>
      <c r="F81" s="104" t="s">
        <v>51</v>
      </c>
      <c r="G81" s="104" t="s">
        <v>90</v>
      </c>
      <c r="H81" s="104" t="s">
        <v>91</v>
      </c>
      <c r="I81" s="104" t="s">
        <v>92</v>
      </c>
      <c r="J81" s="160" t="s">
        <v>85</v>
      </c>
      <c r="K81" s="106"/>
    </row>
    <row r="82" spans="2:10" s="1" customFormat="1" ht="15" customHeight="1">
      <c r="B82" s="155"/>
      <c r="C82" s="57" t="s">
        <v>100</v>
      </c>
      <c r="J82" s="161">
        <f>SUM(J85:J121)</f>
        <v>0</v>
      </c>
    </row>
    <row r="83" spans="1:11" s="1" customFormat="1" ht="15" customHeight="1">
      <c r="A83" s="11"/>
      <c r="B83" s="162"/>
      <c r="C83" s="11"/>
      <c r="D83" s="112"/>
      <c r="E83" s="113"/>
      <c r="F83" s="113"/>
      <c r="G83" s="11"/>
      <c r="H83" s="11"/>
      <c r="I83" s="11"/>
      <c r="J83" s="163"/>
      <c r="K83" s="11"/>
    </row>
    <row r="84" spans="1:11" s="1" customFormat="1" ht="15" customHeight="1">
      <c r="A84" s="11"/>
      <c r="B84" s="162"/>
      <c r="C84" s="11"/>
      <c r="D84" s="112"/>
      <c r="E84" s="113"/>
      <c r="F84" s="120" t="s">
        <v>134</v>
      </c>
      <c r="G84" s="11"/>
      <c r="H84" s="11"/>
      <c r="I84" s="11"/>
      <c r="J84" s="163"/>
      <c r="K84" s="11"/>
    </row>
    <row r="85" spans="1:11" s="1" customFormat="1" ht="15" customHeight="1">
      <c r="A85"/>
      <c r="B85" s="166"/>
      <c r="C85" s="123">
        <v>1</v>
      </c>
      <c r="D85" s="123" t="s">
        <v>103</v>
      </c>
      <c r="E85" s="124"/>
      <c r="F85" s="125" t="s">
        <v>143</v>
      </c>
      <c r="G85" s="126" t="s">
        <v>111</v>
      </c>
      <c r="H85" s="127">
        <v>1</v>
      </c>
      <c r="I85" s="128">
        <v>0</v>
      </c>
      <c r="J85" s="164">
        <f>ROUND(I85*H85,2)</f>
        <v>0</v>
      </c>
      <c r="K85"/>
    </row>
    <row r="86" spans="2:10" ht="15" customHeight="1">
      <c r="B86" s="166"/>
      <c r="F86" s="148" t="s">
        <v>145</v>
      </c>
      <c r="J86" s="167"/>
    </row>
    <row r="87" spans="2:10" ht="15" customHeight="1">
      <c r="B87" s="166"/>
      <c r="C87" s="123">
        <v>2</v>
      </c>
      <c r="D87" s="123" t="s">
        <v>103</v>
      </c>
      <c r="E87" s="124"/>
      <c r="F87" s="125" t="s">
        <v>149</v>
      </c>
      <c r="G87" s="126" t="s">
        <v>111</v>
      </c>
      <c r="H87" s="127">
        <v>2</v>
      </c>
      <c r="I87" s="128">
        <v>0</v>
      </c>
      <c r="J87" s="164">
        <f>ROUND(I87*H87,2)</f>
        <v>0</v>
      </c>
    </row>
    <row r="88" spans="2:10" ht="15" customHeight="1">
      <c r="B88" s="166"/>
      <c r="C88" s="123">
        <v>3</v>
      </c>
      <c r="D88" s="123" t="s">
        <v>103</v>
      </c>
      <c r="E88" s="124"/>
      <c r="F88" s="125" t="s">
        <v>147</v>
      </c>
      <c r="G88" s="126" t="s">
        <v>106</v>
      </c>
      <c r="H88" s="127">
        <f>14*4</f>
        <v>56</v>
      </c>
      <c r="I88" s="128">
        <v>0</v>
      </c>
      <c r="J88" s="164">
        <f aca="true" t="shared" si="0" ref="J88:J91">ROUND(I88*H88,2)</f>
        <v>0</v>
      </c>
    </row>
    <row r="89" spans="2:10" ht="15" customHeight="1">
      <c r="B89" s="166"/>
      <c r="C89" s="123">
        <v>4</v>
      </c>
      <c r="D89" s="123" t="s">
        <v>103</v>
      </c>
      <c r="E89" s="124"/>
      <c r="F89" s="125" t="s">
        <v>150</v>
      </c>
      <c r="G89" s="126" t="s">
        <v>108</v>
      </c>
      <c r="H89" s="127">
        <v>3.5</v>
      </c>
      <c r="I89" s="128">
        <v>0</v>
      </c>
      <c r="J89" s="164">
        <f t="shared" si="0"/>
        <v>0</v>
      </c>
    </row>
    <row r="90" spans="2:10" ht="15" customHeight="1">
      <c r="B90" s="166"/>
      <c r="C90" s="123">
        <v>5</v>
      </c>
      <c r="D90" s="123" t="s">
        <v>103</v>
      </c>
      <c r="E90" s="124"/>
      <c r="F90" s="125" t="s">
        <v>153</v>
      </c>
      <c r="G90" s="126" t="s">
        <v>111</v>
      </c>
      <c r="H90" s="127">
        <v>1</v>
      </c>
      <c r="I90" s="128">
        <v>0</v>
      </c>
      <c r="J90" s="164">
        <f t="shared" si="0"/>
        <v>0</v>
      </c>
    </row>
    <row r="91" spans="2:10" ht="15" customHeight="1">
      <c r="B91" s="166"/>
      <c r="C91" s="123">
        <v>6</v>
      </c>
      <c r="D91" s="123" t="s">
        <v>103</v>
      </c>
      <c r="E91" s="124"/>
      <c r="F91" s="125" t="s">
        <v>160</v>
      </c>
      <c r="G91" s="126" t="s">
        <v>106</v>
      </c>
      <c r="H91" s="127">
        <f>12</f>
        <v>12</v>
      </c>
      <c r="I91" s="128">
        <v>0</v>
      </c>
      <c r="J91" s="164">
        <f t="shared" si="0"/>
        <v>0</v>
      </c>
    </row>
    <row r="92" spans="2:10" ht="15" customHeight="1">
      <c r="B92" s="166"/>
      <c r="I92">
        <v>0</v>
      </c>
      <c r="J92" s="167"/>
    </row>
    <row r="93" spans="1:11" ht="15" customHeight="1">
      <c r="A93" s="11"/>
      <c r="B93" s="162"/>
      <c r="C93" s="123"/>
      <c r="D93" s="142"/>
      <c r="E93" s="143"/>
      <c r="F93" s="120" t="s">
        <v>156</v>
      </c>
      <c r="G93" s="145"/>
      <c r="H93" s="146"/>
      <c r="I93" s="147">
        <v>0</v>
      </c>
      <c r="J93" s="165"/>
      <c r="K93" s="11"/>
    </row>
    <row r="94" spans="1:11" ht="15" customHeight="1">
      <c r="A94" s="11"/>
      <c r="B94" s="162"/>
      <c r="C94" s="123">
        <v>7</v>
      </c>
      <c r="D94" s="123" t="s">
        <v>103</v>
      </c>
      <c r="E94" s="124"/>
      <c r="F94" s="125" t="s">
        <v>158</v>
      </c>
      <c r="G94" s="126" t="s">
        <v>106</v>
      </c>
      <c r="H94" s="127">
        <f>5*4.5</f>
        <v>22.5</v>
      </c>
      <c r="I94" s="128">
        <v>0</v>
      </c>
      <c r="J94" s="164">
        <f aca="true" t="shared" si="1" ref="J94:J95">ROUND(I94*H94,2)</f>
        <v>0</v>
      </c>
      <c r="K94" s="11"/>
    </row>
    <row r="95" spans="1:11" ht="15" customHeight="1">
      <c r="A95" s="11"/>
      <c r="B95" s="162"/>
      <c r="C95" s="123">
        <v>8</v>
      </c>
      <c r="D95" s="123" t="s">
        <v>103</v>
      </c>
      <c r="E95" s="124"/>
      <c r="F95" s="125" t="s">
        <v>215</v>
      </c>
      <c r="G95" s="126" t="s">
        <v>170</v>
      </c>
      <c r="H95" s="127">
        <v>1</v>
      </c>
      <c r="I95" s="128">
        <v>0</v>
      </c>
      <c r="J95" s="164">
        <f t="shared" si="1"/>
        <v>0</v>
      </c>
      <c r="K95" s="11"/>
    </row>
    <row r="96" spans="1:11" ht="15" customHeight="1">
      <c r="A96" s="11"/>
      <c r="B96" s="162"/>
      <c r="C96" s="123"/>
      <c r="D96" s="123"/>
      <c r="E96" s="124"/>
      <c r="F96" s="125"/>
      <c r="G96" s="126"/>
      <c r="H96" s="127"/>
      <c r="I96" s="128"/>
      <c r="J96" s="164"/>
      <c r="K96" s="11"/>
    </row>
    <row r="97" spans="1:11" ht="15" customHeight="1">
      <c r="A97" s="11"/>
      <c r="B97" s="162"/>
      <c r="C97" s="123"/>
      <c r="D97" s="123"/>
      <c r="E97" s="124"/>
      <c r="F97" s="120" t="s">
        <v>159</v>
      </c>
      <c r="G97" s="126"/>
      <c r="H97" s="127"/>
      <c r="I97" s="128"/>
      <c r="J97" s="164"/>
      <c r="K97" s="11"/>
    </row>
    <row r="98" spans="1:11" ht="15" customHeight="1">
      <c r="A98" s="11"/>
      <c r="B98" s="162"/>
      <c r="C98" s="123">
        <v>9</v>
      </c>
      <c r="D98" s="123" t="s">
        <v>103</v>
      </c>
      <c r="E98" s="124"/>
      <c r="F98" s="125" t="s">
        <v>202</v>
      </c>
      <c r="G98" s="126" t="s">
        <v>106</v>
      </c>
      <c r="H98" s="127">
        <f>H88</f>
        <v>56</v>
      </c>
      <c r="I98" s="128">
        <v>0</v>
      </c>
      <c r="J98" s="164">
        <f>ROUND(I98*H98,2)</f>
        <v>0</v>
      </c>
      <c r="K98" s="11"/>
    </row>
    <row r="99" spans="1:11" ht="15" customHeight="1">
      <c r="A99" s="11"/>
      <c r="B99" s="162"/>
      <c r="C99" s="123">
        <v>10</v>
      </c>
      <c r="D99" s="123" t="s">
        <v>103</v>
      </c>
      <c r="E99" s="124"/>
      <c r="F99" s="125" t="s">
        <v>192</v>
      </c>
      <c r="G99" s="126" t="s">
        <v>106</v>
      </c>
      <c r="H99" s="127">
        <f>H98</f>
        <v>56</v>
      </c>
      <c r="I99" s="128">
        <v>0</v>
      </c>
      <c r="J99" s="164">
        <f aca="true" t="shared" si="2" ref="J99:J100">ROUND(I99*H99,2)</f>
        <v>0</v>
      </c>
      <c r="K99" s="11"/>
    </row>
    <row r="100" spans="1:11" ht="15" customHeight="1">
      <c r="A100" s="11"/>
      <c r="B100" s="162"/>
      <c r="C100" s="123">
        <v>11</v>
      </c>
      <c r="D100" s="123" t="s">
        <v>103</v>
      </c>
      <c r="E100" s="124"/>
      <c r="F100" s="125" t="s">
        <v>162</v>
      </c>
      <c r="G100" s="126" t="s">
        <v>106</v>
      </c>
      <c r="H100" s="127">
        <v>12</v>
      </c>
      <c r="I100" s="128">
        <v>0</v>
      </c>
      <c r="J100" s="164">
        <f t="shared" si="2"/>
        <v>0</v>
      </c>
      <c r="K100" s="11"/>
    </row>
    <row r="101" spans="1:11" ht="15" customHeight="1">
      <c r="A101" s="11"/>
      <c r="B101" s="162"/>
      <c r="C101" s="123"/>
      <c r="D101" s="142"/>
      <c r="E101" s="143"/>
      <c r="F101" s="148" t="s">
        <v>161</v>
      </c>
      <c r="G101" s="145"/>
      <c r="H101" s="146"/>
      <c r="I101" s="147"/>
      <c r="J101" s="165"/>
      <c r="K101" s="11"/>
    </row>
    <row r="102" spans="1:11" ht="15" customHeight="1">
      <c r="A102" s="11"/>
      <c r="B102" s="162"/>
      <c r="C102" s="123">
        <v>12</v>
      </c>
      <c r="D102" s="123" t="s">
        <v>103</v>
      </c>
      <c r="E102" s="124"/>
      <c r="F102" s="125" t="s">
        <v>165</v>
      </c>
      <c r="G102" s="126" t="s">
        <v>106</v>
      </c>
      <c r="H102" s="127">
        <f>H100*1.1</f>
        <v>13.200000000000001</v>
      </c>
      <c r="I102" s="128">
        <v>0</v>
      </c>
      <c r="J102" s="164">
        <f>ROUND(I102*H102,2)</f>
        <v>0</v>
      </c>
      <c r="K102" s="11"/>
    </row>
    <row r="103" spans="1:11" ht="15" customHeight="1">
      <c r="A103" s="11"/>
      <c r="B103" s="162"/>
      <c r="C103" s="123"/>
      <c r="D103" s="142"/>
      <c r="E103" s="143"/>
      <c r="F103" s="148" t="s">
        <v>225</v>
      </c>
      <c r="G103" s="126"/>
      <c r="H103" s="127"/>
      <c r="I103" s="128"/>
      <c r="J103" s="164"/>
      <c r="K103" s="11"/>
    </row>
    <row r="104" spans="2:11" ht="15" customHeight="1">
      <c r="B104" s="162"/>
      <c r="C104" s="123"/>
      <c r="D104" s="142"/>
      <c r="E104" s="143"/>
      <c r="F104" s="125" t="s">
        <v>166</v>
      </c>
      <c r="G104" s="126" t="s">
        <v>108</v>
      </c>
      <c r="H104" s="127">
        <f>17</f>
        <v>17</v>
      </c>
      <c r="I104" s="128">
        <v>0</v>
      </c>
      <c r="J104" s="164">
        <f aca="true" t="shared" si="3" ref="J104:J108">ROUND(I104*H104,2)</f>
        <v>0</v>
      </c>
      <c r="K104" s="11"/>
    </row>
    <row r="105" spans="1:11" ht="15" customHeight="1">
      <c r="A105" s="11"/>
      <c r="B105" s="162"/>
      <c r="C105" s="123">
        <v>13</v>
      </c>
      <c r="D105" s="123" t="s">
        <v>103</v>
      </c>
      <c r="E105" s="124"/>
      <c r="F105" s="125" t="s">
        <v>167</v>
      </c>
      <c r="G105" s="126" t="s">
        <v>106</v>
      </c>
      <c r="H105" s="127">
        <f>H100</f>
        <v>12</v>
      </c>
      <c r="I105" s="128">
        <v>0</v>
      </c>
      <c r="J105" s="164">
        <f t="shared" si="3"/>
        <v>0</v>
      </c>
      <c r="K105" s="11"/>
    </row>
    <row r="106" spans="1:11" ht="15" customHeight="1">
      <c r="A106" s="11"/>
      <c r="B106" s="162"/>
      <c r="C106" s="123">
        <v>14</v>
      </c>
      <c r="D106" s="123" t="s">
        <v>103</v>
      </c>
      <c r="E106" s="124"/>
      <c r="F106" s="125" t="s">
        <v>221</v>
      </c>
      <c r="G106" s="126" t="s">
        <v>106</v>
      </c>
      <c r="H106" s="127">
        <f>H98</f>
        <v>56</v>
      </c>
      <c r="I106" s="128">
        <v>0</v>
      </c>
      <c r="J106" s="164">
        <f t="shared" si="3"/>
        <v>0</v>
      </c>
      <c r="K106" s="11"/>
    </row>
    <row r="107" spans="1:11" ht="15" customHeight="1">
      <c r="A107" s="11"/>
      <c r="B107" s="162"/>
      <c r="C107" s="123">
        <v>15</v>
      </c>
      <c r="D107" s="123" t="s">
        <v>103</v>
      </c>
      <c r="E107" s="124"/>
      <c r="F107" s="125" t="s">
        <v>200</v>
      </c>
      <c r="G107" s="126" t="s">
        <v>108</v>
      </c>
      <c r="H107" s="127">
        <v>4</v>
      </c>
      <c r="I107" s="128">
        <v>0</v>
      </c>
      <c r="J107" s="164">
        <f t="shared" si="3"/>
        <v>0</v>
      </c>
      <c r="K107" s="11"/>
    </row>
    <row r="108" spans="1:11" ht="15" customHeight="1">
      <c r="A108" s="11"/>
      <c r="B108" s="162"/>
      <c r="C108" s="123">
        <v>16</v>
      </c>
      <c r="D108" s="123" t="s">
        <v>103</v>
      </c>
      <c r="E108" s="124"/>
      <c r="F108" s="125" t="s">
        <v>314</v>
      </c>
      <c r="G108" s="126" t="s">
        <v>106</v>
      </c>
      <c r="H108" s="127">
        <v>3</v>
      </c>
      <c r="I108" s="128">
        <v>0</v>
      </c>
      <c r="J108" s="164">
        <f t="shared" si="3"/>
        <v>0</v>
      </c>
      <c r="K108" s="11"/>
    </row>
    <row r="109" spans="1:11" ht="15" customHeight="1">
      <c r="A109" s="11"/>
      <c r="B109" s="162"/>
      <c r="C109" s="123"/>
      <c r="D109" s="112" t="s">
        <v>68</v>
      </c>
      <c r="E109" s="120" t="s">
        <v>102</v>
      </c>
      <c r="F109" s="120" t="s">
        <v>110</v>
      </c>
      <c r="G109" s="11"/>
      <c r="H109" s="11"/>
      <c r="I109" s="11"/>
      <c r="J109" s="169"/>
      <c r="K109" s="11"/>
    </row>
    <row r="110" spans="1:11" ht="15" customHeight="1">
      <c r="A110" s="1"/>
      <c r="B110" s="170"/>
      <c r="C110" s="123">
        <v>17</v>
      </c>
      <c r="D110" s="123" t="s">
        <v>103</v>
      </c>
      <c r="E110" s="124"/>
      <c r="F110" s="125" t="s">
        <v>206</v>
      </c>
      <c r="G110" s="126" t="s">
        <v>104</v>
      </c>
      <c r="H110" s="127">
        <v>2</v>
      </c>
      <c r="I110" s="128">
        <v>0</v>
      </c>
      <c r="J110" s="164">
        <f aca="true" t="shared" si="4" ref="J110:J113">ROUND(I110*H110,2)</f>
        <v>0</v>
      </c>
      <c r="K110" s="151"/>
    </row>
    <row r="111" spans="1:11" ht="15" customHeight="1">
      <c r="A111" s="1"/>
      <c r="B111" s="170"/>
      <c r="C111" s="123"/>
      <c r="D111" s="123" t="s">
        <v>103</v>
      </c>
      <c r="E111" s="124"/>
      <c r="F111" s="125" t="s">
        <v>305</v>
      </c>
      <c r="G111" s="126" t="s">
        <v>104</v>
      </c>
      <c r="H111" s="127">
        <v>1</v>
      </c>
      <c r="I111" s="128">
        <v>0</v>
      </c>
      <c r="J111" s="164">
        <f>I111*H111</f>
        <v>0</v>
      </c>
      <c r="K111" s="151"/>
    </row>
    <row r="112" spans="1:11" ht="15" customHeight="1">
      <c r="A112" s="1"/>
      <c r="B112" s="170"/>
      <c r="C112" s="123">
        <v>18</v>
      </c>
      <c r="D112" s="123" t="s">
        <v>103</v>
      </c>
      <c r="E112" s="124"/>
      <c r="F112" s="125" t="s">
        <v>206</v>
      </c>
      <c r="G112" s="126" t="s">
        <v>104</v>
      </c>
      <c r="H112" s="127">
        <v>2</v>
      </c>
      <c r="I112" s="128">
        <v>0</v>
      </c>
      <c r="J112" s="164">
        <f aca="true" t="shared" si="5" ref="J112">ROUND(I112*H112,2)</f>
        <v>0</v>
      </c>
      <c r="K112" s="151"/>
    </row>
    <row r="113" spans="1:11" ht="15" customHeight="1">
      <c r="A113" s="1"/>
      <c r="B113" s="170"/>
      <c r="C113" s="123"/>
      <c r="D113" s="123" t="s">
        <v>103</v>
      </c>
      <c r="E113" s="124"/>
      <c r="F113" s="125" t="s">
        <v>224</v>
      </c>
      <c r="G113" s="126" t="s">
        <v>111</v>
      </c>
      <c r="H113" s="127">
        <v>1</v>
      </c>
      <c r="I113" s="128">
        <v>0</v>
      </c>
      <c r="J113" s="164">
        <f t="shared" si="4"/>
        <v>0</v>
      </c>
      <c r="K113" s="151"/>
    </row>
    <row r="114" spans="1:11" ht="15" customHeight="1">
      <c r="A114" s="1"/>
      <c r="B114" s="170"/>
      <c r="C114" s="123">
        <v>19</v>
      </c>
      <c r="D114" s="123"/>
      <c r="E114" s="124"/>
      <c r="F114" s="150" t="s">
        <v>222</v>
      </c>
      <c r="G114" s="126" t="s">
        <v>111</v>
      </c>
      <c r="H114" s="127">
        <v>1</v>
      </c>
      <c r="I114" s="128">
        <v>0</v>
      </c>
      <c r="J114" s="164">
        <f aca="true" t="shared" si="6" ref="J114:J116">ROUND(I114*H114,2)</f>
        <v>0</v>
      </c>
      <c r="K114" s="149"/>
    </row>
    <row r="115" spans="1:11" ht="15" customHeight="1">
      <c r="A115" s="1"/>
      <c r="B115" s="170"/>
      <c r="C115" s="123">
        <v>20</v>
      </c>
      <c r="D115" s="123"/>
      <c r="E115" s="124"/>
      <c r="F115" s="150" t="s">
        <v>223</v>
      </c>
      <c r="G115" s="126" t="s">
        <v>111</v>
      </c>
      <c r="H115" s="127">
        <v>1</v>
      </c>
      <c r="I115" s="128">
        <v>0</v>
      </c>
      <c r="J115" s="164">
        <f t="shared" si="6"/>
        <v>0</v>
      </c>
      <c r="K115" s="149"/>
    </row>
    <row r="116" spans="1:11" ht="15" customHeight="1">
      <c r="A116" s="1"/>
      <c r="B116" s="170"/>
      <c r="C116" s="123">
        <v>21</v>
      </c>
      <c r="D116" s="123"/>
      <c r="E116" s="124"/>
      <c r="F116" s="150" t="s">
        <v>220</v>
      </c>
      <c r="G116" s="126" t="s">
        <v>111</v>
      </c>
      <c r="H116" s="127">
        <v>1</v>
      </c>
      <c r="I116" s="128">
        <v>0</v>
      </c>
      <c r="J116" s="164">
        <f t="shared" si="6"/>
        <v>0</v>
      </c>
      <c r="K116" s="149"/>
    </row>
    <row r="117" spans="1:11" ht="15" customHeight="1">
      <c r="A117" s="1"/>
      <c r="B117" s="170"/>
      <c r="C117" s="123"/>
      <c r="D117" s="123" t="s">
        <v>103</v>
      </c>
      <c r="E117" s="124"/>
      <c r="F117" s="125" t="s">
        <v>270</v>
      </c>
      <c r="G117" s="126"/>
      <c r="H117" s="127"/>
      <c r="I117" s="128">
        <v>0</v>
      </c>
      <c r="J117" s="164"/>
      <c r="K117" s="149"/>
    </row>
    <row r="118" spans="1:11" ht="15" customHeight="1">
      <c r="A118" s="1"/>
      <c r="B118" s="170"/>
      <c r="C118" s="123"/>
      <c r="D118" s="142"/>
      <c r="E118" s="143"/>
      <c r="F118" s="120" t="s">
        <v>175</v>
      </c>
      <c r="G118" s="145"/>
      <c r="H118" s="146"/>
      <c r="I118" s="147"/>
      <c r="J118" s="165"/>
      <c r="K118" s="149"/>
    </row>
    <row r="119" spans="1:11" ht="15" customHeight="1">
      <c r="A119" s="12"/>
      <c r="B119" s="171"/>
      <c r="C119" s="123"/>
      <c r="D119" s="142"/>
      <c r="E119" s="143"/>
      <c r="F119" s="120" t="s">
        <v>194</v>
      </c>
      <c r="G119" s="145"/>
      <c r="H119" s="146"/>
      <c r="I119" s="147"/>
      <c r="J119" s="165"/>
      <c r="K119" s="12"/>
    </row>
    <row r="120" spans="1:11" ht="15" customHeight="1">
      <c r="A120" s="12"/>
      <c r="B120" s="171"/>
      <c r="C120" s="123">
        <v>22</v>
      </c>
      <c r="D120" s="123" t="s">
        <v>103</v>
      </c>
      <c r="E120" s="124"/>
      <c r="F120" s="125" t="s">
        <v>195</v>
      </c>
      <c r="G120" s="126" t="s">
        <v>111</v>
      </c>
      <c r="H120" s="127">
        <v>2</v>
      </c>
      <c r="I120" s="128">
        <v>0</v>
      </c>
      <c r="J120" s="164">
        <f aca="true" t="shared" si="7" ref="J120:J121">ROUND(I120*H120,2)</f>
        <v>0</v>
      </c>
      <c r="K120" s="12"/>
    </row>
    <row r="121" spans="1:11" ht="15" customHeight="1">
      <c r="A121" s="12"/>
      <c r="B121" s="171"/>
      <c r="C121" s="123">
        <v>23</v>
      </c>
      <c r="D121" s="123" t="s">
        <v>103</v>
      </c>
      <c r="E121" s="124"/>
      <c r="F121" s="125" t="s">
        <v>212</v>
      </c>
      <c r="G121" s="126" t="s">
        <v>111</v>
      </c>
      <c r="H121" s="127">
        <v>1</v>
      </c>
      <c r="I121" s="128">
        <v>0</v>
      </c>
      <c r="J121" s="164">
        <f t="shared" si="7"/>
        <v>0</v>
      </c>
      <c r="K121" s="12"/>
    </row>
    <row r="122" ht="15" customHeight="1"/>
    <row r="123" ht="15" customHeight="1"/>
    <row r="124" ht="15" customHeight="1"/>
  </sheetData>
  <mergeCells count="8">
    <mergeCell ref="E72:H72"/>
    <mergeCell ref="E74:H74"/>
    <mergeCell ref="E39:H39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129"/>
  <sheetViews>
    <sheetView showGridLines="0" zoomScale="160" zoomScaleNormal="160" workbookViewId="0" topLeftCell="A114">
      <selection activeCell="F123" sqref="F123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8.140625" style="0" customWidth="1"/>
    <col min="4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140625" style="0" customWidth="1"/>
    <col min="11" max="11" width="22.140625" style="0" hidden="1" customWidth="1"/>
    <col min="12" max="12" width="22.140625" style="0" customWidth="1"/>
    <col min="13" max="13" width="10.7109375" style="0" hidden="1" customWidth="1"/>
    <col min="14" max="19" width="14.140625" style="0" hidden="1" customWidth="1"/>
    <col min="20" max="20" width="16.140625" style="0" hidden="1" customWidth="1"/>
    <col min="21" max="21" width="12.140625" style="0" customWidth="1"/>
    <col min="22" max="22" width="16.140625" style="0" customWidth="1"/>
    <col min="23" max="23" width="12.140625" style="0" customWidth="1"/>
    <col min="24" max="24" width="15.00390625" style="0" customWidth="1"/>
    <col min="25" max="25" width="11.00390625" style="0" customWidth="1"/>
    <col min="26" max="26" width="15.00390625" style="0" customWidth="1"/>
    <col min="27" max="27" width="16.140625" style="0" customWidth="1"/>
    <col min="28" max="28" width="11.00390625" style="0" customWidth="1"/>
    <col min="29" max="29" width="15.00390625" style="0" customWidth="1"/>
    <col min="30" max="30" width="16.140625" style="0" customWidth="1"/>
  </cols>
  <sheetData>
    <row r="2" spans="2:11" ht="36.95" customHeight="1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ht="6.95" customHeight="1">
      <c r="B3" s="190"/>
      <c r="C3" s="16"/>
      <c r="D3" s="16"/>
      <c r="E3" s="16"/>
      <c r="F3" s="16"/>
      <c r="G3" s="16"/>
      <c r="H3" s="16"/>
      <c r="I3" s="16"/>
      <c r="J3" s="16"/>
      <c r="K3" s="191"/>
    </row>
    <row r="4" spans="2:11" ht="24.95" customHeight="1">
      <c r="B4" s="182"/>
      <c r="D4" s="18" t="s">
        <v>81</v>
      </c>
      <c r="K4" s="183"/>
    </row>
    <row r="5" spans="2:11" ht="6.95" customHeight="1">
      <c r="B5" s="182"/>
      <c r="K5" s="183"/>
    </row>
    <row r="6" spans="2:11" ht="12" customHeight="1">
      <c r="B6" s="182"/>
      <c r="D6" s="23" t="s">
        <v>13</v>
      </c>
      <c r="K6" s="183"/>
    </row>
    <row r="7" spans="2:11" ht="16.5" customHeight="1">
      <c r="B7" s="182"/>
      <c r="E7" s="254" t="str">
        <f>'Rekapitulace stavby'!K6</f>
        <v>Oprava gynekologicko-porodnické oddělení</v>
      </c>
      <c r="F7" s="254"/>
      <c r="G7" s="254"/>
      <c r="H7" s="254"/>
      <c r="K7" s="183"/>
    </row>
    <row r="8" spans="2:11" s="1" customFormat="1" ht="12" customHeight="1">
      <c r="B8" s="180"/>
      <c r="D8" s="23" t="s">
        <v>82</v>
      </c>
      <c r="K8" s="181"/>
    </row>
    <row r="9" spans="2:11" s="1" customFormat="1" ht="47.25" customHeight="1">
      <c r="B9" s="180"/>
      <c r="E9" s="245" t="s">
        <v>229</v>
      </c>
      <c r="F9" s="245"/>
      <c r="G9" s="245"/>
      <c r="H9" s="245"/>
      <c r="K9" s="181"/>
    </row>
    <row r="10" spans="2:11" s="1" customFormat="1" ht="12">
      <c r="B10" s="180"/>
      <c r="K10" s="181"/>
    </row>
    <row r="11" spans="2:11" s="1" customFormat="1" ht="12" customHeight="1">
      <c r="B11" s="180"/>
      <c r="D11" s="23" t="s">
        <v>14</v>
      </c>
      <c r="F11" s="21" t="s">
        <v>1</v>
      </c>
      <c r="I11" s="23" t="s">
        <v>15</v>
      </c>
      <c r="J11" s="21" t="s">
        <v>1</v>
      </c>
      <c r="K11" s="181"/>
    </row>
    <row r="12" spans="2:11" s="1" customFormat="1" ht="12" customHeight="1">
      <c r="B12" s="180"/>
      <c r="D12" s="23" t="s">
        <v>16</v>
      </c>
      <c r="F12" s="21" t="s">
        <v>17</v>
      </c>
      <c r="I12" s="23" t="s">
        <v>18</v>
      </c>
      <c r="J12" s="46">
        <f>'Rekapitulace stavby'!AN8</f>
        <v>45194</v>
      </c>
      <c r="K12" s="181"/>
    </row>
    <row r="13" spans="2:11" s="1" customFormat="1" ht="11.1" customHeight="1">
      <c r="B13" s="180"/>
      <c r="K13" s="181"/>
    </row>
    <row r="14" spans="2:11" s="1" customFormat="1" ht="12" customHeight="1">
      <c r="B14" s="180"/>
      <c r="D14" s="23" t="s">
        <v>19</v>
      </c>
      <c r="I14" s="23" t="s">
        <v>20</v>
      </c>
      <c r="J14" s="21" t="str">
        <f>IF('Rekapitulace stavby'!AN10="","",'Rekapitulace stavby'!AN10)</f>
        <v/>
      </c>
      <c r="K14" s="181"/>
    </row>
    <row r="15" spans="2:11" s="1" customFormat="1" ht="18" customHeight="1">
      <c r="B15" s="180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K15" s="181"/>
    </row>
    <row r="16" spans="2:11" s="1" customFormat="1" ht="6.95" customHeight="1">
      <c r="B16" s="180"/>
      <c r="K16" s="181"/>
    </row>
    <row r="17" spans="2:11" s="1" customFormat="1" ht="12" customHeight="1">
      <c r="B17" s="180"/>
      <c r="D17" s="23" t="s">
        <v>22</v>
      </c>
      <c r="I17" s="23" t="s">
        <v>20</v>
      </c>
      <c r="J17" s="21" t="str">
        <f>'Rekapitulace stavby'!AN13</f>
        <v/>
      </c>
      <c r="K17" s="181"/>
    </row>
    <row r="18" spans="2:11" s="1" customFormat="1" ht="18" customHeight="1">
      <c r="B18" s="180"/>
      <c r="E18" s="235" t="str">
        <f>'Rekapitulace stavby'!E14</f>
        <v xml:space="preserve"> </v>
      </c>
      <c r="F18" s="235"/>
      <c r="G18" s="235"/>
      <c r="H18" s="235"/>
      <c r="I18" s="23" t="s">
        <v>21</v>
      </c>
      <c r="J18" s="21" t="str">
        <f>'Rekapitulace stavby'!AN14</f>
        <v/>
      </c>
      <c r="K18" s="181"/>
    </row>
    <row r="19" spans="2:11" s="1" customFormat="1" ht="6.95" customHeight="1">
      <c r="B19" s="180"/>
      <c r="K19" s="181"/>
    </row>
    <row r="20" spans="2:11" s="1" customFormat="1" ht="12" customHeight="1">
      <c r="B20" s="180"/>
      <c r="D20" s="23" t="s">
        <v>23</v>
      </c>
      <c r="I20" s="23" t="s">
        <v>20</v>
      </c>
      <c r="J20" s="21" t="s">
        <v>1</v>
      </c>
      <c r="K20" s="181"/>
    </row>
    <row r="21" spans="2:11" s="1" customFormat="1" ht="18" customHeight="1">
      <c r="B21" s="180"/>
      <c r="E21" s="21" t="s">
        <v>132</v>
      </c>
      <c r="I21" s="23" t="s">
        <v>21</v>
      </c>
      <c r="J21" s="21" t="s">
        <v>1</v>
      </c>
      <c r="K21" s="181"/>
    </row>
    <row r="22" spans="2:11" s="1" customFormat="1" ht="6.95" customHeight="1">
      <c r="B22" s="180"/>
      <c r="K22" s="181"/>
    </row>
    <row r="23" spans="2:11" s="1" customFormat="1" ht="12" customHeight="1">
      <c r="B23" s="180"/>
      <c r="D23" s="23" t="s">
        <v>26</v>
      </c>
      <c r="I23" s="23" t="s">
        <v>20</v>
      </c>
      <c r="J23" s="21" t="str">
        <f>IF('Rekapitulace stavby'!AN19="","",'Rekapitulace stavby'!AN19)</f>
        <v/>
      </c>
      <c r="K23" s="181"/>
    </row>
    <row r="24" spans="2:11" s="1" customFormat="1" ht="18" customHeight="1">
      <c r="B24" s="180"/>
      <c r="E24" s="21" t="str">
        <f>IF('Rekapitulace stavby'!E20="","",'Rekapitulace stavby'!E20)</f>
        <v xml:space="preserve"> </v>
      </c>
      <c r="I24" s="23" t="s">
        <v>21</v>
      </c>
      <c r="J24" s="21" t="str">
        <f>IF('Rekapitulace stavby'!AN20="","",'Rekapitulace stavby'!AN20)</f>
        <v/>
      </c>
      <c r="K24" s="181"/>
    </row>
    <row r="25" spans="2:11" s="1" customFormat="1" ht="6.95" customHeight="1">
      <c r="B25" s="180"/>
      <c r="K25" s="181"/>
    </row>
    <row r="26" spans="2:11" s="1" customFormat="1" ht="12" customHeight="1">
      <c r="B26" s="180"/>
      <c r="D26" s="23" t="s">
        <v>27</v>
      </c>
      <c r="K26" s="181"/>
    </row>
    <row r="27" spans="2:11" s="7" customFormat="1" ht="71.25" customHeight="1">
      <c r="B27" s="192"/>
      <c r="E27" s="238"/>
      <c r="F27" s="238"/>
      <c r="G27" s="238"/>
      <c r="H27" s="238"/>
      <c r="K27" s="193"/>
    </row>
    <row r="28" spans="2:11" s="1" customFormat="1" ht="6.95" customHeight="1">
      <c r="B28" s="180"/>
      <c r="K28" s="181"/>
    </row>
    <row r="29" spans="2:11" s="1" customFormat="1" ht="6.95" customHeight="1">
      <c r="B29" s="180"/>
      <c r="D29" s="47"/>
      <c r="E29" s="47"/>
      <c r="F29" s="47"/>
      <c r="G29" s="47"/>
      <c r="H29" s="47"/>
      <c r="I29" s="47"/>
      <c r="J29" s="47"/>
      <c r="K29" s="194"/>
    </row>
    <row r="30" spans="2:11" s="1" customFormat="1" ht="25.35" customHeight="1">
      <c r="B30" s="180"/>
      <c r="D30" s="83" t="s">
        <v>29</v>
      </c>
      <c r="J30" s="59">
        <f>ROUND(J82,2)</f>
        <v>0</v>
      </c>
      <c r="K30" s="181"/>
    </row>
    <row r="31" spans="2:11" ht="12">
      <c r="B31" s="182"/>
      <c r="K31" s="183"/>
    </row>
    <row r="32" spans="2:11" ht="12">
      <c r="B32" s="182"/>
      <c r="K32" s="183"/>
    </row>
    <row r="33" spans="2:11" s="1" customFormat="1" ht="6.95" customHeight="1">
      <c r="B33" s="184"/>
      <c r="C33" s="41"/>
      <c r="D33" s="41"/>
      <c r="E33" s="41"/>
      <c r="F33" s="41"/>
      <c r="G33" s="41"/>
      <c r="H33" s="41"/>
      <c r="I33" s="41"/>
      <c r="J33" s="41"/>
      <c r="K33" s="185"/>
    </row>
    <row r="34" spans="2:11" s="1" customFormat="1" ht="24.95" customHeight="1">
      <c r="B34" s="180"/>
      <c r="C34" s="18" t="s">
        <v>83</v>
      </c>
      <c r="K34" s="181"/>
    </row>
    <row r="35" spans="2:11" s="1" customFormat="1" ht="6.95" customHeight="1">
      <c r="B35" s="180"/>
      <c r="K35" s="181"/>
    </row>
    <row r="36" spans="2:11" s="1" customFormat="1" ht="12" customHeight="1">
      <c r="B36" s="180"/>
      <c r="C36" s="23" t="s">
        <v>13</v>
      </c>
      <c r="K36" s="181"/>
    </row>
    <row r="37" spans="2:11" s="1" customFormat="1" ht="16.5" customHeight="1">
      <c r="B37" s="180"/>
      <c r="E37" s="254" t="str">
        <f>E7</f>
        <v>Oprava gynekologicko-porodnické oddělení</v>
      </c>
      <c r="F37" s="254"/>
      <c r="G37" s="254"/>
      <c r="H37" s="254"/>
      <c r="K37" s="181"/>
    </row>
    <row r="38" spans="2:11" s="1" customFormat="1" ht="12" customHeight="1">
      <c r="B38" s="180"/>
      <c r="C38" s="23" t="s">
        <v>82</v>
      </c>
      <c r="K38" s="181"/>
    </row>
    <row r="39" spans="2:11" s="1" customFormat="1" ht="16.5" customHeight="1">
      <c r="B39" s="180"/>
      <c r="E39" s="245" t="str">
        <f>E9</f>
        <v>04 Sprchy, 05 Čistící m., 06 Sklad infuzních roztoků, 07 WC zam., 08 WC pacienti</v>
      </c>
      <c r="F39" s="245"/>
      <c r="G39" s="245"/>
      <c r="H39" s="245"/>
      <c r="K39" s="181"/>
    </row>
    <row r="40" spans="2:11" s="1" customFormat="1" ht="6.95" customHeight="1">
      <c r="B40" s="180"/>
      <c r="K40" s="181"/>
    </row>
    <row r="41" spans="2:11" s="1" customFormat="1" ht="12" customHeight="1">
      <c r="B41" s="180"/>
      <c r="C41" s="23" t="s">
        <v>16</v>
      </c>
      <c r="F41" s="21" t="str">
        <f>F12</f>
        <v xml:space="preserve"> </v>
      </c>
      <c r="I41" s="23" t="s">
        <v>18</v>
      </c>
      <c r="J41" s="46">
        <f>IF(J12="","",J12)</f>
        <v>45194</v>
      </c>
      <c r="K41" s="181"/>
    </row>
    <row r="42" spans="2:11" s="1" customFormat="1" ht="6.95" customHeight="1">
      <c r="B42" s="180"/>
      <c r="K42" s="181"/>
    </row>
    <row r="43" spans="2:11" s="1" customFormat="1" ht="15.2" customHeight="1">
      <c r="B43" s="180"/>
      <c r="C43" s="23" t="s">
        <v>19</v>
      </c>
      <c r="F43" s="21" t="str">
        <f>E15</f>
        <v xml:space="preserve"> </v>
      </c>
      <c r="I43" s="23" t="s">
        <v>23</v>
      </c>
      <c r="J43" s="24" t="str">
        <f>E21</f>
        <v>Ing. arch. Jan Ságl</v>
      </c>
      <c r="K43" s="181"/>
    </row>
    <row r="44" spans="2:11" s="1" customFormat="1" ht="15.2" customHeight="1">
      <c r="B44" s="180"/>
      <c r="C44" s="23" t="s">
        <v>22</v>
      </c>
      <c r="F44" s="21" t="str">
        <f>IF(E18="","",E18)</f>
        <v xml:space="preserve"> </v>
      </c>
      <c r="I44" s="23" t="s">
        <v>26</v>
      </c>
      <c r="J44" s="24" t="str">
        <f>E24</f>
        <v xml:space="preserve"> </v>
      </c>
      <c r="K44" s="181"/>
    </row>
    <row r="45" spans="2:11" s="1" customFormat="1" ht="10.35" customHeight="1">
      <c r="B45" s="180"/>
      <c r="K45" s="181"/>
    </row>
    <row r="46" spans="2:11" s="1" customFormat="1" ht="29.25" customHeight="1">
      <c r="B46" s="180"/>
      <c r="C46" s="95" t="s">
        <v>84</v>
      </c>
      <c r="D46" s="87"/>
      <c r="E46" s="87"/>
      <c r="F46" s="87"/>
      <c r="G46" s="87"/>
      <c r="H46" s="87"/>
      <c r="I46" s="87"/>
      <c r="J46" s="96" t="s">
        <v>85</v>
      </c>
      <c r="K46" s="195"/>
    </row>
    <row r="47" spans="2:11" s="1" customFormat="1" ht="10.35" customHeight="1">
      <c r="B47" s="180"/>
      <c r="K47" s="181"/>
    </row>
    <row r="48" spans="2:11" s="1" customFormat="1" ht="23.1" customHeight="1">
      <c r="B48" s="196"/>
      <c r="C48" s="197"/>
      <c r="D48" s="197"/>
      <c r="E48" s="197"/>
      <c r="F48" s="197"/>
      <c r="G48" s="197"/>
      <c r="H48" s="197"/>
      <c r="I48" s="197"/>
      <c r="J48" s="197"/>
      <c r="K48" s="198"/>
    </row>
    <row r="49" spans="1:11" s="8" customFormat="1" ht="24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9" customFormat="1" ht="20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9" customFormat="1" ht="20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9" customFormat="1" ht="20.1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1" s="9" customFormat="1" ht="20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9" customFormat="1" ht="20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9" customFormat="1" ht="20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9" customFormat="1" ht="20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9" customFormat="1" ht="20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8" customFormat="1" ht="24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9" customFormat="1" ht="20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9" customFormat="1" ht="20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9" customFormat="1" ht="20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9" customFormat="1" ht="20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9" customFormat="1" ht="20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9" customFormat="1" ht="20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9" customFormat="1" ht="20.1" customHeight="1">
      <c r="A65"/>
      <c r="B65"/>
      <c r="C65"/>
      <c r="D65"/>
      <c r="E65"/>
      <c r="F65"/>
      <c r="G65"/>
      <c r="H65"/>
      <c r="I65"/>
      <c r="J65"/>
      <c r="K65"/>
    </row>
    <row r="66" spans="1:11" s="9" customFormat="1" ht="20.1" customHeight="1">
      <c r="A66"/>
      <c r="B66"/>
      <c r="C66"/>
      <c r="D66"/>
      <c r="E66"/>
      <c r="F66"/>
      <c r="G66"/>
      <c r="H66"/>
      <c r="I66"/>
      <c r="J66"/>
      <c r="K66"/>
    </row>
    <row r="67" spans="1:11" s="9" customFormat="1" ht="20.1" customHeight="1" thickBo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20.1" customHeight="1">
      <c r="A68" s="1"/>
      <c r="B68" s="152"/>
      <c r="C68" s="153"/>
      <c r="D68" s="153"/>
      <c r="E68" s="153"/>
      <c r="F68" s="153"/>
      <c r="G68" s="153"/>
      <c r="H68" s="153"/>
      <c r="I68" s="153"/>
      <c r="J68" s="154"/>
      <c r="K68" s="41"/>
    </row>
    <row r="69" spans="1:11" s="9" customFormat="1" ht="20.1" customHeight="1">
      <c r="A69" s="1"/>
      <c r="B69" s="155"/>
      <c r="C69" s="18" t="s">
        <v>88</v>
      </c>
      <c r="D69" s="1"/>
      <c r="E69" s="1"/>
      <c r="F69" s="1"/>
      <c r="G69" s="1"/>
      <c r="H69" s="1"/>
      <c r="I69" s="1"/>
      <c r="J69" s="156"/>
      <c r="K69" s="1"/>
    </row>
    <row r="70" spans="1:11" s="9" customFormat="1" ht="20.1" customHeight="1">
      <c r="A70" s="1"/>
      <c r="B70" s="155"/>
      <c r="C70" s="1"/>
      <c r="D70" s="1"/>
      <c r="E70" s="1"/>
      <c r="F70" s="1"/>
      <c r="G70" s="1"/>
      <c r="H70" s="1"/>
      <c r="I70" s="1"/>
      <c r="J70" s="156"/>
      <c r="K70" s="1"/>
    </row>
    <row r="71" spans="1:11" s="9" customFormat="1" ht="20.1" customHeight="1">
      <c r="A71" s="1"/>
      <c r="B71" s="155"/>
      <c r="C71" s="23" t="s">
        <v>13</v>
      </c>
      <c r="D71" s="1"/>
      <c r="E71" s="1"/>
      <c r="F71" s="1"/>
      <c r="G71" s="1"/>
      <c r="H71" s="1"/>
      <c r="I71" s="1"/>
      <c r="J71" s="156"/>
      <c r="K71" s="1"/>
    </row>
    <row r="72" spans="1:11" s="9" customFormat="1" ht="20.1" customHeight="1">
      <c r="A72" s="1"/>
      <c r="B72" s="155"/>
      <c r="C72" s="1"/>
      <c r="D72" s="1"/>
      <c r="E72" s="254" t="str">
        <f>E7</f>
        <v>Oprava gynekologicko-porodnické oddělení</v>
      </c>
      <c r="F72" s="255"/>
      <c r="G72" s="255"/>
      <c r="H72" s="255"/>
      <c r="I72" s="1"/>
      <c r="J72" s="156"/>
      <c r="K72" s="1"/>
    </row>
    <row r="73" spans="1:11" s="9" customFormat="1" ht="20.1" customHeight="1">
      <c r="A73" s="1"/>
      <c r="B73" s="155"/>
      <c r="C73" s="23" t="s">
        <v>82</v>
      </c>
      <c r="D73" s="1"/>
      <c r="E73" s="1"/>
      <c r="F73" s="1"/>
      <c r="G73" s="1"/>
      <c r="H73" s="1"/>
      <c r="I73" s="1"/>
      <c r="J73" s="156"/>
      <c r="K73" s="1"/>
    </row>
    <row r="74" spans="2:10" s="1" customFormat="1" ht="56.25" customHeight="1">
      <c r="B74" s="155"/>
      <c r="E74" s="245" t="str">
        <f>E9</f>
        <v>04 Sprchy, 05 Čistící m., 06 Sklad infuzních roztoků, 07 WC zam., 08 WC pacienti</v>
      </c>
      <c r="F74" s="256"/>
      <c r="G74" s="256"/>
      <c r="H74" s="256"/>
      <c r="J74" s="156"/>
    </row>
    <row r="75" spans="2:10" s="1" customFormat="1" ht="6.95" customHeight="1">
      <c r="B75" s="155"/>
      <c r="J75" s="156"/>
    </row>
    <row r="76" spans="2:10" s="1" customFormat="1" ht="15" customHeight="1">
      <c r="B76" s="155"/>
      <c r="C76" s="23" t="s">
        <v>16</v>
      </c>
      <c r="F76" s="21" t="str">
        <f>F12</f>
        <v xml:space="preserve"> </v>
      </c>
      <c r="I76" s="23" t="s">
        <v>18</v>
      </c>
      <c r="J76" s="157">
        <f>IF(J12="","",J12)</f>
        <v>45194</v>
      </c>
    </row>
    <row r="77" spans="2:10" s="1" customFormat="1" ht="15" customHeight="1">
      <c r="B77" s="155"/>
      <c r="J77" s="156"/>
    </row>
    <row r="78" spans="2:10" s="1" customFormat="1" ht="15" customHeight="1">
      <c r="B78" s="155"/>
      <c r="C78" s="23" t="s">
        <v>19</v>
      </c>
      <c r="F78" s="21" t="str">
        <f>E15</f>
        <v xml:space="preserve"> </v>
      </c>
      <c r="I78" s="23" t="s">
        <v>23</v>
      </c>
      <c r="J78" s="158" t="str">
        <f>E21</f>
        <v>Ing. arch. Jan Ságl</v>
      </c>
    </row>
    <row r="79" spans="1:11" s="141" customFormat="1" ht="15" customHeight="1">
      <c r="A79" s="1"/>
      <c r="B79" s="155"/>
      <c r="C79" s="23" t="s">
        <v>22</v>
      </c>
      <c r="D79" s="1"/>
      <c r="E79" s="1"/>
      <c r="F79" s="21" t="str">
        <f>IF(E18="","",E18)</f>
        <v xml:space="preserve"> </v>
      </c>
      <c r="G79" s="1"/>
      <c r="H79" s="1"/>
      <c r="I79" s="23" t="s">
        <v>26</v>
      </c>
      <c r="J79" s="158" t="str">
        <f>E24</f>
        <v xml:space="preserve"> </v>
      </c>
      <c r="K79" s="1"/>
    </row>
    <row r="80" spans="2:10" s="1" customFormat="1" ht="15" customHeight="1">
      <c r="B80" s="155"/>
      <c r="J80" s="156"/>
    </row>
    <row r="81" spans="1:11" s="1" customFormat="1" ht="15" customHeight="1">
      <c r="A81" s="10"/>
      <c r="B81" s="159"/>
      <c r="C81" s="103" t="s">
        <v>89</v>
      </c>
      <c r="D81" s="104" t="s">
        <v>54</v>
      </c>
      <c r="E81" s="104" t="s">
        <v>50</v>
      </c>
      <c r="F81" s="104" t="s">
        <v>51</v>
      </c>
      <c r="G81" s="104" t="s">
        <v>90</v>
      </c>
      <c r="H81" s="104" t="s">
        <v>91</v>
      </c>
      <c r="I81" s="104" t="s">
        <v>92</v>
      </c>
      <c r="J81" s="160" t="s">
        <v>85</v>
      </c>
      <c r="K81" s="106" t="s">
        <v>93</v>
      </c>
    </row>
    <row r="82" spans="2:10" s="1" customFormat="1" ht="15" customHeight="1">
      <c r="B82" s="155"/>
      <c r="C82" s="57" t="s">
        <v>100</v>
      </c>
      <c r="J82" s="161">
        <f>SUM(J85:J129)</f>
        <v>0</v>
      </c>
    </row>
    <row r="83" spans="1:11" s="1" customFormat="1" ht="15" customHeight="1">
      <c r="A83" s="11"/>
      <c r="B83" s="162"/>
      <c r="C83" s="11"/>
      <c r="D83" s="112"/>
      <c r="E83" s="113"/>
      <c r="F83" s="113"/>
      <c r="G83" s="11"/>
      <c r="H83" s="11"/>
      <c r="I83" s="11"/>
      <c r="J83" s="163"/>
      <c r="K83" s="11"/>
    </row>
    <row r="84" spans="1:11" s="1" customFormat="1" ht="15" customHeight="1">
      <c r="A84" s="11"/>
      <c r="B84" s="162"/>
      <c r="C84" s="11"/>
      <c r="D84" s="112"/>
      <c r="E84" s="113"/>
      <c r="F84" s="120" t="s">
        <v>134</v>
      </c>
      <c r="G84" s="11"/>
      <c r="H84" s="11"/>
      <c r="I84" s="11"/>
      <c r="J84" s="163"/>
      <c r="K84" s="11"/>
    </row>
    <row r="85" spans="1:11" s="1" customFormat="1" ht="15" customHeight="1">
      <c r="A85"/>
      <c r="B85" s="166"/>
      <c r="C85" s="123">
        <v>1</v>
      </c>
      <c r="D85" s="123" t="s">
        <v>103</v>
      </c>
      <c r="E85" s="124"/>
      <c r="F85" s="125" t="s">
        <v>143</v>
      </c>
      <c r="G85" s="126" t="s">
        <v>111</v>
      </c>
      <c r="H85" s="127">
        <v>1</v>
      </c>
      <c r="I85" s="128">
        <v>0</v>
      </c>
      <c r="J85" s="164">
        <f>ROUND(I85*H85,2)</f>
        <v>0</v>
      </c>
      <c r="K85"/>
    </row>
    <row r="86" spans="1:12" s="1" customFormat="1" ht="24" customHeight="1">
      <c r="A86"/>
      <c r="B86" s="166"/>
      <c r="C86"/>
      <c r="D86"/>
      <c r="E86"/>
      <c r="F86" s="148" t="s">
        <v>145</v>
      </c>
      <c r="G86"/>
      <c r="H86"/>
      <c r="I86"/>
      <c r="J86" s="167"/>
      <c r="K86"/>
      <c r="L86"/>
    </row>
    <row r="87" spans="1:12" s="1" customFormat="1" ht="15" customHeight="1">
      <c r="A87"/>
      <c r="B87" s="166"/>
      <c r="C87" s="123">
        <v>2</v>
      </c>
      <c r="D87" s="123" t="s">
        <v>103</v>
      </c>
      <c r="E87" s="124"/>
      <c r="F87" s="125" t="s">
        <v>149</v>
      </c>
      <c r="G87" s="126" t="s">
        <v>111</v>
      </c>
      <c r="H87" s="127">
        <v>5</v>
      </c>
      <c r="I87" s="128">
        <v>0</v>
      </c>
      <c r="J87" s="164">
        <f aca="true" t="shared" si="0" ref="J87:J92">ROUND(I87*H87,2)</f>
        <v>0</v>
      </c>
      <c r="K87"/>
      <c r="L87"/>
    </row>
    <row r="88" spans="1:12" s="1" customFormat="1" ht="15" customHeight="1">
      <c r="A88"/>
      <c r="B88" s="166"/>
      <c r="C88" s="123">
        <v>3</v>
      </c>
      <c r="D88" s="123" t="s">
        <v>103</v>
      </c>
      <c r="E88" s="124"/>
      <c r="F88" s="125" t="s">
        <v>231</v>
      </c>
      <c r="G88" s="126" t="s">
        <v>106</v>
      </c>
      <c r="H88" s="127">
        <f>(14.5+4+10.5+5+4.2+15)*4</f>
        <v>212.8</v>
      </c>
      <c r="I88" s="128">
        <v>0</v>
      </c>
      <c r="J88" s="164">
        <f t="shared" si="0"/>
        <v>0</v>
      </c>
      <c r="K88"/>
      <c r="L88"/>
    </row>
    <row r="89" spans="1:12" s="1" customFormat="1" ht="15" customHeight="1">
      <c r="A89"/>
      <c r="B89" s="166"/>
      <c r="C89" s="123">
        <v>4</v>
      </c>
      <c r="D89" s="123" t="s">
        <v>103</v>
      </c>
      <c r="E89" s="124"/>
      <c r="F89" s="125" t="s">
        <v>150</v>
      </c>
      <c r="G89" s="126" t="s">
        <v>108</v>
      </c>
      <c r="H89" s="127">
        <f>5*1.5</f>
        <v>7.5</v>
      </c>
      <c r="I89" s="128">
        <v>0</v>
      </c>
      <c r="J89" s="164">
        <f t="shared" si="0"/>
        <v>0</v>
      </c>
      <c r="K89"/>
      <c r="L89"/>
    </row>
    <row r="90" spans="1:12" s="1" customFormat="1" ht="15" customHeight="1">
      <c r="A90"/>
      <c r="B90" s="166"/>
      <c r="C90" s="123">
        <v>5</v>
      </c>
      <c r="D90" s="123" t="s">
        <v>103</v>
      </c>
      <c r="E90" s="124"/>
      <c r="F90" s="125" t="s">
        <v>153</v>
      </c>
      <c r="G90" s="126" t="s">
        <v>111</v>
      </c>
      <c r="H90" s="127">
        <v>1</v>
      </c>
      <c r="I90" s="128">
        <v>0</v>
      </c>
      <c r="J90" s="164">
        <f t="shared" si="0"/>
        <v>0</v>
      </c>
      <c r="K90"/>
      <c r="L90"/>
    </row>
    <row r="91" spans="1:12" s="1" customFormat="1" ht="15" customHeight="1">
      <c r="A91"/>
      <c r="B91" s="166"/>
      <c r="C91" s="123">
        <v>6</v>
      </c>
      <c r="D91" s="123" t="s">
        <v>103</v>
      </c>
      <c r="E91" s="124"/>
      <c r="F91" s="125" t="s">
        <v>241</v>
      </c>
      <c r="G91" s="126" t="s">
        <v>106</v>
      </c>
      <c r="H91" s="127">
        <f>7*4.5</f>
        <v>31.5</v>
      </c>
      <c r="I91" s="128">
        <v>0</v>
      </c>
      <c r="J91" s="186">
        <f t="shared" si="0"/>
        <v>0</v>
      </c>
      <c r="K91"/>
      <c r="L91"/>
    </row>
    <row r="92" spans="1:12" s="1" customFormat="1" ht="40.5" customHeight="1">
      <c r="A92"/>
      <c r="B92" s="166"/>
      <c r="C92" s="123">
        <v>7</v>
      </c>
      <c r="D92" s="123" t="s">
        <v>103</v>
      </c>
      <c r="E92" s="124"/>
      <c r="F92" s="125" t="s">
        <v>230</v>
      </c>
      <c r="G92" s="126" t="s">
        <v>106</v>
      </c>
      <c r="H92" s="127">
        <f>4.2+1+1+1+5.2+1.5+1.2+1+9+8</f>
        <v>33.1</v>
      </c>
      <c r="I92" s="128">
        <v>0</v>
      </c>
      <c r="J92" s="186">
        <f t="shared" si="0"/>
        <v>0</v>
      </c>
      <c r="K92"/>
      <c r="L92"/>
    </row>
    <row r="93" spans="2:10" ht="15" customHeight="1">
      <c r="B93" s="166"/>
      <c r="J93" s="167"/>
    </row>
    <row r="94" spans="1:11" ht="15" customHeight="1">
      <c r="A94" s="11"/>
      <c r="B94" s="162"/>
      <c r="C94" s="123"/>
      <c r="D94" s="142"/>
      <c r="E94" s="143"/>
      <c r="F94" s="120" t="s">
        <v>156</v>
      </c>
      <c r="G94" s="145"/>
      <c r="H94" s="146"/>
      <c r="I94" s="147"/>
      <c r="J94" s="165"/>
      <c r="K94" s="11"/>
    </row>
    <row r="95" spans="1:11" ht="12">
      <c r="A95" s="11"/>
      <c r="B95" s="162"/>
      <c r="C95" s="123">
        <v>8</v>
      </c>
      <c r="D95" s="123" t="s">
        <v>103</v>
      </c>
      <c r="E95" s="124"/>
      <c r="F95" s="125" t="s">
        <v>158</v>
      </c>
      <c r="G95" s="126" t="s">
        <v>106</v>
      </c>
      <c r="H95" s="127">
        <f>4.5*(2+1.5+1+1.5+1+2.5+1.2)</f>
        <v>48.15</v>
      </c>
      <c r="I95" s="128">
        <v>0</v>
      </c>
      <c r="J95" s="164">
        <f>ROUND(I95*H95,2)</f>
        <v>0</v>
      </c>
      <c r="K95" s="11"/>
    </row>
    <row r="96" spans="1:11" ht="12">
      <c r="A96" s="11"/>
      <c r="B96" s="162"/>
      <c r="C96" s="123"/>
      <c r="D96" s="123"/>
      <c r="E96" s="124"/>
      <c r="F96" s="125"/>
      <c r="G96" s="126"/>
      <c r="H96" s="127"/>
      <c r="I96" s="128"/>
      <c r="J96" s="164"/>
      <c r="K96" s="11"/>
    </row>
    <row r="97" spans="1:11" ht="12.75">
      <c r="A97" s="11"/>
      <c r="B97" s="162"/>
      <c r="C97" s="123"/>
      <c r="D97" s="123"/>
      <c r="E97" s="124"/>
      <c r="F97" s="120" t="s">
        <v>159</v>
      </c>
      <c r="G97" s="126"/>
      <c r="H97" s="127"/>
      <c r="I97" s="128"/>
      <c r="J97" s="164"/>
      <c r="K97" s="11"/>
    </row>
    <row r="98" spans="1:11" ht="24">
      <c r="A98" s="11"/>
      <c r="B98" s="162"/>
      <c r="C98" s="123">
        <v>9</v>
      </c>
      <c r="D98" s="123" t="s">
        <v>103</v>
      </c>
      <c r="E98" s="124"/>
      <c r="F98" s="125" t="s">
        <v>202</v>
      </c>
      <c r="G98" s="126" t="s">
        <v>106</v>
      </c>
      <c r="H98" s="127">
        <f>H88</f>
        <v>212.8</v>
      </c>
      <c r="I98" s="128">
        <v>0</v>
      </c>
      <c r="J98" s="164">
        <f>ROUND(I98*H98,2)</f>
        <v>0</v>
      </c>
      <c r="K98" s="11"/>
    </row>
    <row r="99" spans="1:11" ht="12">
      <c r="A99" s="11"/>
      <c r="B99" s="162"/>
      <c r="C99" s="123">
        <v>10</v>
      </c>
      <c r="D99" s="123" t="s">
        <v>103</v>
      </c>
      <c r="E99" s="124"/>
      <c r="F99" s="125" t="s">
        <v>192</v>
      </c>
      <c r="G99" s="126" t="s">
        <v>106</v>
      </c>
      <c r="H99" s="127">
        <f>H98</f>
        <v>212.8</v>
      </c>
      <c r="I99" s="128">
        <v>0</v>
      </c>
      <c r="J99" s="164">
        <f>ROUND(I99*H99,2)</f>
        <v>0</v>
      </c>
      <c r="K99" s="11"/>
    </row>
    <row r="100" spans="1:11" ht="24">
      <c r="A100" s="11"/>
      <c r="B100" s="162"/>
      <c r="C100" s="123">
        <v>11</v>
      </c>
      <c r="D100" s="123" t="s">
        <v>103</v>
      </c>
      <c r="E100" s="124"/>
      <c r="F100" s="125" t="s">
        <v>162</v>
      </c>
      <c r="G100" s="126" t="s">
        <v>106</v>
      </c>
      <c r="H100" s="127">
        <f>H92</f>
        <v>33.1</v>
      </c>
      <c r="I100" s="128">
        <v>0</v>
      </c>
      <c r="J100" s="164">
        <f>ROUND(I100*H100,2)</f>
        <v>0</v>
      </c>
      <c r="K100" s="11"/>
    </row>
    <row r="101" spans="1:11" ht="12">
      <c r="A101" s="11"/>
      <c r="B101" s="162"/>
      <c r="C101" s="123"/>
      <c r="D101" s="123"/>
      <c r="E101" s="124"/>
      <c r="F101" s="148" t="s">
        <v>161</v>
      </c>
      <c r="G101" s="126"/>
      <c r="H101" s="127"/>
      <c r="I101" s="128"/>
      <c r="J101" s="164"/>
      <c r="K101" s="11"/>
    </row>
    <row r="102" spans="1:11" ht="36">
      <c r="A102" s="11"/>
      <c r="B102" s="162"/>
      <c r="C102" s="123">
        <v>12</v>
      </c>
      <c r="D102" s="123" t="s">
        <v>103</v>
      </c>
      <c r="E102" s="124"/>
      <c r="F102" s="125" t="s">
        <v>246</v>
      </c>
      <c r="G102" s="126" t="s">
        <v>106</v>
      </c>
      <c r="H102" s="127">
        <f>H92*2</f>
        <v>66.2</v>
      </c>
      <c r="I102" s="128">
        <v>0</v>
      </c>
      <c r="J102" s="164">
        <f>ROUND(I102*H102,2)</f>
        <v>0</v>
      </c>
      <c r="K102" s="11"/>
    </row>
    <row r="103" spans="1:11" ht="12">
      <c r="A103" s="11"/>
      <c r="B103" s="162"/>
      <c r="C103" s="123"/>
      <c r="D103" s="142"/>
      <c r="E103" s="143"/>
      <c r="G103" s="145"/>
      <c r="H103" s="146"/>
      <c r="I103" s="147"/>
      <c r="J103" s="165"/>
      <c r="K103" s="11"/>
    </row>
    <row r="104" spans="1:11" ht="24">
      <c r="A104" s="11"/>
      <c r="B104" s="162"/>
      <c r="C104" s="123">
        <v>13</v>
      </c>
      <c r="D104" s="123" t="s">
        <v>103</v>
      </c>
      <c r="E104" s="124"/>
      <c r="F104" s="125" t="s">
        <v>232</v>
      </c>
      <c r="G104" s="126" t="s">
        <v>106</v>
      </c>
      <c r="H104" s="127">
        <f>H100</f>
        <v>33.1</v>
      </c>
      <c r="I104" s="128">
        <v>0</v>
      </c>
      <c r="J104" s="164">
        <f>ROUND(I104*H104,2)</f>
        <v>0</v>
      </c>
      <c r="K104" s="11"/>
    </row>
    <row r="105" spans="1:11" ht="24">
      <c r="A105" s="11"/>
      <c r="B105" s="162"/>
      <c r="C105" s="123">
        <v>14</v>
      </c>
      <c r="D105" s="123" t="s">
        <v>103</v>
      </c>
      <c r="E105" s="124"/>
      <c r="F105" s="125" t="s">
        <v>243</v>
      </c>
      <c r="G105" s="126" t="s">
        <v>106</v>
      </c>
      <c r="H105" s="127">
        <f>H88/4*2</f>
        <v>106.4</v>
      </c>
      <c r="I105" s="128">
        <v>0</v>
      </c>
      <c r="J105" s="164">
        <f>ROUND(I105*H105,2)</f>
        <v>0</v>
      </c>
      <c r="K105" s="11"/>
    </row>
    <row r="106" spans="1:11" ht="12">
      <c r="A106" s="11"/>
      <c r="B106" s="162"/>
      <c r="C106" s="123"/>
      <c r="D106" s="123"/>
      <c r="E106" s="124"/>
      <c r="F106" s="148" t="s">
        <v>161</v>
      </c>
      <c r="G106" s="126"/>
      <c r="H106" s="127"/>
      <c r="I106" s="128"/>
      <c r="J106" s="164"/>
      <c r="K106" s="11"/>
    </row>
    <row r="107" spans="1:11" ht="12">
      <c r="A107" s="11"/>
      <c r="B107" s="162"/>
      <c r="C107" s="123">
        <v>15</v>
      </c>
      <c r="D107" s="123" t="s">
        <v>103</v>
      </c>
      <c r="E107" s="124"/>
      <c r="F107" s="125" t="s">
        <v>167</v>
      </c>
      <c r="G107" s="126" t="s">
        <v>106</v>
      </c>
      <c r="H107" s="127">
        <f>H100</f>
        <v>33.1</v>
      </c>
      <c r="I107" s="128">
        <v>0</v>
      </c>
      <c r="J107" s="164">
        <f>ROUND(I107*H107,2)</f>
        <v>0</v>
      </c>
      <c r="K107" s="11"/>
    </row>
    <row r="108" spans="1:11" ht="24">
      <c r="A108" s="11"/>
      <c r="B108" s="162"/>
      <c r="C108" s="123">
        <v>16</v>
      </c>
      <c r="D108" s="123" t="s">
        <v>103</v>
      </c>
      <c r="E108" s="124"/>
      <c r="F108" s="125" t="s">
        <v>221</v>
      </c>
      <c r="G108" s="126" t="s">
        <v>106</v>
      </c>
      <c r="H108" s="127">
        <f>H98/4*(4-1.5)</f>
        <v>133</v>
      </c>
      <c r="I108" s="128">
        <v>0</v>
      </c>
      <c r="J108" s="164">
        <f>ROUND(I108*H108,2)</f>
        <v>0</v>
      </c>
      <c r="K108" s="11"/>
    </row>
    <row r="109" spans="1:11" ht="12">
      <c r="A109" s="11"/>
      <c r="B109" s="162"/>
      <c r="C109" s="123">
        <v>17</v>
      </c>
      <c r="D109" s="123" t="s">
        <v>103</v>
      </c>
      <c r="E109" s="124"/>
      <c r="F109" s="125" t="s">
        <v>200</v>
      </c>
      <c r="G109" s="126" t="s">
        <v>108</v>
      </c>
      <c r="H109" s="127">
        <f>H89</f>
        <v>7.5</v>
      </c>
      <c r="I109" s="128">
        <v>0</v>
      </c>
      <c r="J109" s="164">
        <f>ROUND(I109*H109,2)</f>
        <v>0</v>
      </c>
      <c r="K109" s="11"/>
    </row>
    <row r="110" spans="1:11" ht="12">
      <c r="A110" s="11"/>
      <c r="B110" s="162"/>
      <c r="C110" s="123"/>
      <c r="D110" s="123"/>
      <c r="E110" s="124"/>
      <c r="F110" s="125"/>
      <c r="G110" s="126"/>
      <c r="H110" s="127"/>
      <c r="I110" s="128"/>
      <c r="J110" s="164"/>
      <c r="K110" s="11"/>
    </row>
    <row r="111" spans="1:11" ht="12.75">
      <c r="A111" s="11"/>
      <c r="B111" s="162"/>
      <c r="C111" s="123"/>
      <c r="D111" s="112"/>
      <c r="E111" s="120"/>
      <c r="F111" s="120" t="s">
        <v>110</v>
      </c>
      <c r="G111" s="11"/>
      <c r="H111" s="11"/>
      <c r="I111" s="11"/>
      <c r="J111" s="169"/>
      <c r="K111" s="11"/>
    </row>
    <row r="112" spans="1:11" ht="12">
      <c r="A112" s="11"/>
      <c r="B112" s="162"/>
      <c r="C112" s="123">
        <v>18</v>
      </c>
      <c r="D112" s="123" t="s">
        <v>103</v>
      </c>
      <c r="E112" s="124"/>
      <c r="F112" s="125" t="s">
        <v>172</v>
      </c>
      <c r="G112" s="126" t="s">
        <v>104</v>
      </c>
      <c r="H112" s="127">
        <v>8</v>
      </c>
      <c r="I112" s="128">
        <v>0</v>
      </c>
      <c r="J112" s="164">
        <f aca="true" t="shared" si="1" ref="J112:J117">ROUND(I112*H112,2)</f>
        <v>0</v>
      </c>
      <c r="K112" s="11"/>
    </row>
    <row r="113" spans="1:11" ht="12">
      <c r="A113" s="1"/>
      <c r="B113" s="170"/>
      <c r="C113" s="123">
        <v>19</v>
      </c>
      <c r="D113" s="123" t="s">
        <v>103</v>
      </c>
      <c r="E113" s="124"/>
      <c r="F113" s="125" t="s">
        <v>291</v>
      </c>
      <c r="G113" s="126" t="s">
        <v>104</v>
      </c>
      <c r="H113" s="127">
        <v>7</v>
      </c>
      <c r="I113" s="128">
        <v>0</v>
      </c>
      <c r="J113" s="164">
        <f t="shared" si="1"/>
        <v>0</v>
      </c>
      <c r="K113" s="151"/>
    </row>
    <row r="114" spans="1:11" ht="12">
      <c r="A114" s="1"/>
      <c r="B114" s="170"/>
      <c r="C114" s="123"/>
      <c r="D114" s="123" t="s">
        <v>103</v>
      </c>
      <c r="E114" s="124"/>
      <c r="F114" s="125" t="s">
        <v>224</v>
      </c>
      <c r="G114" s="126"/>
      <c r="H114" s="127">
        <v>1</v>
      </c>
      <c r="I114" s="128">
        <v>0</v>
      </c>
      <c r="J114" s="164">
        <f t="shared" si="1"/>
        <v>0</v>
      </c>
      <c r="K114" s="151"/>
    </row>
    <row r="115" spans="1:11" ht="12">
      <c r="A115" s="1"/>
      <c r="B115" s="170"/>
      <c r="C115" s="123">
        <v>20</v>
      </c>
      <c r="D115" s="123"/>
      <c r="E115" s="124"/>
      <c r="F115" s="150" t="s">
        <v>239</v>
      </c>
      <c r="G115" s="126" t="s">
        <v>111</v>
      </c>
      <c r="H115" s="127">
        <v>1</v>
      </c>
      <c r="I115" s="128">
        <v>0</v>
      </c>
      <c r="J115" s="164">
        <f t="shared" si="1"/>
        <v>0</v>
      </c>
      <c r="K115" s="149"/>
    </row>
    <row r="116" spans="1:11" ht="24">
      <c r="A116" s="1"/>
      <c r="B116" s="170"/>
      <c r="C116" s="123">
        <v>21</v>
      </c>
      <c r="D116" s="123"/>
      <c r="E116" s="124"/>
      <c r="F116" s="150" t="s">
        <v>242</v>
      </c>
      <c r="G116" s="126" t="s">
        <v>111</v>
      </c>
      <c r="H116" s="127">
        <v>1</v>
      </c>
      <c r="I116" s="128">
        <v>0</v>
      </c>
      <c r="J116" s="164">
        <f t="shared" si="1"/>
        <v>0</v>
      </c>
      <c r="K116" s="149"/>
    </row>
    <row r="117" spans="1:11" ht="24">
      <c r="A117" s="1"/>
      <c r="B117" s="170"/>
      <c r="C117" s="123"/>
      <c r="D117" s="123"/>
      <c r="E117" s="124"/>
      <c r="F117" s="125" t="s">
        <v>270</v>
      </c>
      <c r="G117" s="126"/>
      <c r="H117" s="127">
        <v>1</v>
      </c>
      <c r="I117" s="128">
        <v>0</v>
      </c>
      <c r="J117" s="164">
        <f t="shared" si="1"/>
        <v>0</v>
      </c>
      <c r="K117" s="149"/>
    </row>
    <row r="118" spans="1:11" ht="12">
      <c r="A118" s="1"/>
      <c r="B118" s="170"/>
      <c r="C118" s="123"/>
      <c r="D118" s="142"/>
      <c r="E118" s="143"/>
      <c r="F118" s="144"/>
      <c r="G118" s="145"/>
      <c r="H118" s="146"/>
      <c r="I118" s="147"/>
      <c r="J118" s="165"/>
      <c r="K118" s="149"/>
    </row>
    <row r="119" spans="1:11" ht="12.75">
      <c r="A119" s="1"/>
      <c r="B119" s="170"/>
      <c r="C119" s="123"/>
      <c r="D119" s="142"/>
      <c r="E119" s="143"/>
      <c r="F119" s="120" t="s">
        <v>175</v>
      </c>
      <c r="G119" s="145"/>
      <c r="H119" s="146"/>
      <c r="I119" s="147"/>
      <c r="J119" s="165"/>
      <c r="K119" s="149"/>
    </row>
    <row r="120" spans="1:11" ht="12">
      <c r="A120" s="1"/>
      <c r="B120" s="170"/>
      <c r="C120" s="123">
        <v>22</v>
      </c>
      <c r="D120" s="123" t="s">
        <v>103</v>
      </c>
      <c r="E120" s="124"/>
      <c r="F120" s="125" t="s">
        <v>233</v>
      </c>
      <c r="G120" s="126" t="s">
        <v>170</v>
      </c>
      <c r="H120" s="127">
        <v>4</v>
      </c>
      <c r="I120" s="128">
        <v>0</v>
      </c>
      <c r="J120" s="164">
        <f>ROUND(I120*H120,2)</f>
        <v>0</v>
      </c>
      <c r="K120" s="149"/>
    </row>
    <row r="121" spans="1:11" ht="12.75">
      <c r="A121" s="1"/>
      <c r="B121" s="170"/>
      <c r="C121" s="123"/>
      <c r="D121" s="142"/>
      <c r="E121" s="143"/>
      <c r="F121" s="120"/>
      <c r="G121" s="145"/>
      <c r="H121" s="146"/>
      <c r="I121" s="147"/>
      <c r="J121" s="165"/>
      <c r="K121" s="149"/>
    </row>
    <row r="122" spans="1:11" ht="12.75">
      <c r="A122" s="12"/>
      <c r="B122" s="171"/>
      <c r="C122" s="123"/>
      <c r="D122" s="142"/>
      <c r="E122" s="143"/>
      <c r="F122" s="120" t="s">
        <v>194</v>
      </c>
      <c r="G122" s="145"/>
      <c r="H122" s="146"/>
      <c r="I122" s="147"/>
      <c r="J122" s="165"/>
      <c r="K122" s="12"/>
    </row>
    <row r="123" spans="1:11" ht="24">
      <c r="A123" s="12"/>
      <c r="B123" s="171"/>
      <c r="C123" s="123">
        <v>23</v>
      </c>
      <c r="D123" s="123" t="s">
        <v>103</v>
      </c>
      <c r="E123" s="124"/>
      <c r="F123" s="125" t="s">
        <v>195</v>
      </c>
      <c r="G123" s="126" t="s">
        <v>111</v>
      </c>
      <c r="H123" s="127">
        <v>2</v>
      </c>
      <c r="I123" s="128">
        <v>0</v>
      </c>
      <c r="J123" s="164">
        <f aca="true" t="shared" si="2" ref="J123:J129">ROUND(I123*H123,2)</f>
        <v>0</v>
      </c>
      <c r="K123" s="12"/>
    </row>
    <row r="124" spans="1:11" ht="12">
      <c r="A124" s="12"/>
      <c r="B124" s="171"/>
      <c r="C124" s="123">
        <v>24</v>
      </c>
      <c r="D124" s="123" t="s">
        <v>103</v>
      </c>
      <c r="E124" s="124"/>
      <c r="F124" s="125" t="s">
        <v>212</v>
      </c>
      <c r="G124" s="126" t="s">
        <v>111</v>
      </c>
      <c r="H124" s="127">
        <v>1</v>
      </c>
      <c r="I124" s="128">
        <v>0</v>
      </c>
      <c r="J124" s="164">
        <f t="shared" si="2"/>
        <v>0</v>
      </c>
      <c r="K124" s="12"/>
    </row>
    <row r="125" spans="3:10" ht="12">
      <c r="C125" s="123">
        <v>25</v>
      </c>
      <c r="D125" s="123" t="s">
        <v>103</v>
      </c>
      <c r="E125" s="124"/>
      <c r="F125" s="125" t="s">
        <v>234</v>
      </c>
      <c r="G125" s="126" t="s">
        <v>111</v>
      </c>
      <c r="H125" s="127">
        <v>2</v>
      </c>
      <c r="I125" s="128">
        <v>0</v>
      </c>
      <c r="J125" s="164">
        <f t="shared" si="2"/>
        <v>0</v>
      </c>
    </row>
    <row r="126" spans="3:10" ht="12">
      <c r="C126" s="123">
        <v>26</v>
      </c>
      <c r="D126" s="123" t="s">
        <v>103</v>
      </c>
      <c r="E126" s="124"/>
      <c r="F126" s="125" t="s">
        <v>235</v>
      </c>
      <c r="G126" s="126" t="s">
        <v>111</v>
      </c>
      <c r="H126" s="127">
        <v>4</v>
      </c>
      <c r="I126" s="128">
        <v>0</v>
      </c>
      <c r="J126" s="164">
        <f t="shared" si="2"/>
        <v>0</v>
      </c>
    </row>
    <row r="127" spans="3:10" ht="12">
      <c r="C127" s="123">
        <v>27</v>
      </c>
      <c r="D127" s="123" t="s">
        <v>103</v>
      </c>
      <c r="E127" s="124"/>
      <c r="F127" s="125" t="s">
        <v>236</v>
      </c>
      <c r="G127" s="126" t="s">
        <v>111</v>
      </c>
      <c r="H127" s="127">
        <v>4</v>
      </c>
      <c r="I127" s="128">
        <v>0</v>
      </c>
      <c r="J127" s="164">
        <f t="shared" si="2"/>
        <v>0</v>
      </c>
    </row>
    <row r="128" spans="3:10" ht="12">
      <c r="C128" s="123">
        <v>28</v>
      </c>
      <c r="D128" s="123" t="s">
        <v>103</v>
      </c>
      <c r="E128" s="124"/>
      <c r="F128" s="125" t="s">
        <v>237</v>
      </c>
      <c r="G128" s="126" t="s">
        <v>111</v>
      </c>
      <c r="H128" s="127">
        <v>1</v>
      </c>
      <c r="I128" s="128">
        <v>0</v>
      </c>
      <c r="J128" s="164">
        <f t="shared" si="2"/>
        <v>0</v>
      </c>
    </row>
    <row r="129" spans="3:10" ht="12">
      <c r="C129" s="123">
        <v>29</v>
      </c>
      <c r="D129" s="123" t="s">
        <v>103</v>
      </c>
      <c r="E129" s="124"/>
      <c r="F129" s="125" t="s">
        <v>238</v>
      </c>
      <c r="G129" s="126" t="s">
        <v>111</v>
      </c>
      <c r="H129" s="127">
        <v>1</v>
      </c>
      <c r="I129" s="128">
        <v>0</v>
      </c>
      <c r="J129" s="164">
        <f t="shared" si="2"/>
        <v>0</v>
      </c>
    </row>
  </sheetData>
  <mergeCells count="8">
    <mergeCell ref="E72:H72"/>
    <mergeCell ref="E74:H74"/>
    <mergeCell ref="E39:H39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124"/>
  <sheetViews>
    <sheetView showGridLines="0" zoomScale="130" zoomScaleNormal="130" workbookViewId="0" topLeftCell="A109">
      <selection activeCell="F115" sqref="F115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9.140625" style="0" customWidth="1"/>
    <col min="4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140625" style="0" customWidth="1"/>
    <col min="11" max="11" width="22.140625" style="0" hidden="1" customWidth="1"/>
    <col min="12" max="12" width="22.140625" style="0" customWidth="1"/>
    <col min="13" max="13" width="10.7109375" style="0" hidden="1" customWidth="1"/>
    <col min="14" max="19" width="14.140625" style="0" hidden="1" customWidth="1"/>
    <col min="20" max="20" width="16.140625" style="0" hidden="1" customWidth="1"/>
    <col min="21" max="21" width="12.140625" style="0" customWidth="1"/>
    <col min="22" max="22" width="16.140625" style="0" customWidth="1"/>
    <col min="23" max="23" width="12.140625" style="0" customWidth="1"/>
    <col min="24" max="24" width="15.00390625" style="0" customWidth="1"/>
    <col min="25" max="25" width="11.00390625" style="0" customWidth="1"/>
    <col min="26" max="26" width="15.00390625" style="0" customWidth="1"/>
    <col min="27" max="27" width="16.140625" style="0" customWidth="1"/>
    <col min="28" max="28" width="11.00390625" style="0" customWidth="1"/>
    <col min="29" max="29" width="15.00390625" style="0" customWidth="1"/>
    <col min="30" max="30" width="16.140625" style="0" customWidth="1"/>
  </cols>
  <sheetData>
    <row r="2" spans="2:11" ht="36.95" customHeight="1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ht="6.95" customHeight="1">
      <c r="B3" s="190"/>
      <c r="C3" s="16"/>
      <c r="D3" s="16"/>
      <c r="E3" s="16"/>
      <c r="F3" s="16"/>
      <c r="G3" s="16"/>
      <c r="H3" s="16"/>
      <c r="I3" s="16"/>
      <c r="J3" s="16"/>
      <c r="K3" s="191"/>
    </row>
    <row r="4" spans="2:11" ht="24.95" customHeight="1">
      <c r="B4" s="182"/>
      <c r="D4" s="18" t="s">
        <v>81</v>
      </c>
      <c r="K4" s="183"/>
    </row>
    <row r="5" spans="2:11" ht="6.95" customHeight="1">
      <c r="B5" s="182"/>
      <c r="K5" s="183"/>
    </row>
    <row r="6" spans="2:11" ht="12" customHeight="1">
      <c r="B6" s="182"/>
      <c r="D6" s="23" t="s">
        <v>13</v>
      </c>
      <c r="K6" s="183"/>
    </row>
    <row r="7" spans="2:11" ht="16.5" customHeight="1">
      <c r="B7" s="182"/>
      <c r="E7" s="254" t="str">
        <f>'Rekapitulace stavby'!K6</f>
        <v>Oprava gynekologicko-porodnické oddělení</v>
      </c>
      <c r="F7" s="254"/>
      <c r="G7" s="254"/>
      <c r="H7" s="254"/>
      <c r="K7" s="183"/>
    </row>
    <row r="8" spans="2:11" s="1" customFormat="1" ht="12" customHeight="1">
      <c r="B8" s="180"/>
      <c r="D8" s="23" t="s">
        <v>82</v>
      </c>
      <c r="K8" s="181"/>
    </row>
    <row r="9" spans="2:11" s="1" customFormat="1" ht="47.25" customHeight="1">
      <c r="B9" s="180"/>
      <c r="E9" s="245" t="s">
        <v>240</v>
      </c>
      <c r="F9" s="245"/>
      <c r="G9" s="245"/>
      <c r="H9" s="245"/>
      <c r="K9" s="181"/>
    </row>
    <row r="10" spans="2:11" s="1" customFormat="1" ht="12">
      <c r="B10" s="180"/>
      <c r="K10" s="181"/>
    </row>
    <row r="11" spans="2:11" s="1" customFormat="1" ht="12" customHeight="1">
      <c r="B11" s="180"/>
      <c r="D11" s="23" t="s">
        <v>14</v>
      </c>
      <c r="F11" s="21" t="s">
        <v>1</v>
      </c>
      <c r="I11" s="23" t="s">
        <v>15</v>
      </c>
      <c r="J11" s="21" t="s">
        <v>1</v>
      </c>
      <c r="K11" s="181"/>
    </row>
    <row r="12" spans="2:11" s="1" customFormat="1" ht="12" customHeight="1">
      <c r="B12" s="180"/>
      <c r="D12" s="23" t="s">
        <v>16</v>
      </c>
      <c r="F12" s="21" t="s">
        <v>17</v>
      </c>
      <c r="I12" s="23" t="s">
        <v>18</v>
      </c>
      <c r="J12" s="46">
        <f>'Rekapitulace stavby'!AN8</f>
        <v>45194</v>
      </c>
      <c r="K12" s="181"/>
    </row>
    <row r="13" spans="2:11" s="1" customFormat="1" ht="11.1" customHeight="1">
      <c r="B13" s="180"/>
      <c r="K13" s="181"/>
    </row>
    <row r="14" spans="2:11" s="1" customFormat="1" ht="12" customHeight="1">
      <c r="B14" s="180"/>
      <c r="D14" s="23" t="s">
        <v>19</v>
      </c>
      <c r="I14" s="23" t="s">
        <v>20</v>
      </c>
      <c r="J14" s="21" t="str">
        <f>IF('Rekapitulace stavby'!AN10="","",'Rekapitulace stavby'!AN10)</f>
        <v/>
      </c>
      <c r="K14" s="181"/>
    </row>
    <row r="15" spans="2:11" s="1" customFormat="1" ht="18" customHeight="1">
      <c r="B15" s="180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K15" s="181"/>
    </row>
    <row r="16" spans="2:11" s="1" customFormat="1" ht="6.95" customHeight="1">
      <c r="B16" s="180"/>
      <c r="K16" s="181"/>
    </row>
    <row r="17" spans="2:11" s="1" customFormat="1" ht="12" customHeight="1">
      <c r="B17" s="180"/>
      <c r="D17" s="23" t="s">
        <v>22</v>
      </c>
      <c r="I17" s="23" t="s">
        <v>20</v>
      </c>
      <c r="J17" s="21" t="str">
        <f>'Rekapitulace stavby'!AN13</f>
        <v/>
      </c>
      <c r="K17" s="181"/>
    </row>
    <row r="18" spans="2:11" s="1" customFormat="1" ht="18" customHeight="1">
      <c r="B18" s="180"/>
      <c r="E18" s="235" t="str">
        <f>'Rekapitulace stavby'!E14</f>
        <v xml:space="preserve"> </v>
      </c>
      <c r="F18" s="235"/>
      <c r="G18" s="235"/>
      <c r="H18" s="235"/>
      <c r="I18" s="23" t="s">
        <v>21</v>
      </c>
      <c r="J18" s="21" t="str">
        <f>'Rekapitulace stavby'!AN14</f>
        <v/>
      </c>
      <c r="K18" s="181"/>
    </row>
    <row r="19" spans="2:11" s="1" customFormat="1" ht="6.95" customHeight="1">
      <c r="B19" s="180"/>
      <c r="K19" s="181"/>
    </row>
    <row r="20" spans="2:11" s="1" customFormat="1" ht="12" customHeight="1">
      <c r="B20" s="180"/>
      <c r="D20" s="23" t="s">
        <v>23</v>
      </c>
      <c r="I20" s="23" t="s">
        <v>20</v>
      </c>
      <c r="J20" s="21" t="s">
        <v>1</v>
      </c>
      <c r="K20" s="181"/>
    </row>
    <row r="21" spans="2:11" s="1" customFormat="1" ht="18" customHeight="1">
      <c r="B21" s="180"/>
      <c r="E21" s="21" t="s">
        <v>132</v>
      </c>
      <c r="I21" s="23" t="s">
        <v>21</v>
      </c>
      <c r="J21" s="21" t="s">
        <v>1</v>
      </c>
      <c r="K21" s="181"/>
    </row>
    <row r="22" spans="2:11" s="1" customFormat="1" ht="6.95" customHeight="1">
      <c r="B22" s="180"/>
      <c r="K22" s="181"/>
    </row>
    <row r="23" spans="2:11" s="1" customFormat="1" ht="12" customHeight="1">
      <c r="B23" s="180"/>
      <c r="D23" s="23" t="s">
        <v>26</v>
      </c>
      <c r="I23" s="23" t="s">
        <v>20</v>
      </c>
      <c r="J23" s="21" t="str">
        <f>IF('Rekapitulace stavby'!AN19="","",'Rekapitulace stavby'!AN19)</f>
        <v/>
      </c>
      <c r="K23" s="181"/>
    </row>
    <row r="24" spans="2:11" s="1" customFormat="1" ht="18" customHeight="1">
      <c r="B24" s="180"/>
      <c r="E24" s="21" t="str">
        <f>IF('Rekapitulace stavby'!E20="","",'Rekapitulace stavby'!E20)</f>
        <v xml:space="preserve"> </v>
      </c>
      <c r="I24" s="23" t="s">
        <v>21</v>
      </c>
      <c r="J24" s="21" t="str">
        <f>IF('Rekapitulace stavby'!AN20="","",'Rekapitulace stavby'!AN20)</f>
        <v/>
      </c>
      <c r="K24" s="181"/>
    </row>
    <row r="25" spans="2:11" s="1" customFormat="1" ht="6.95" customHeight="1">
      <c r="B25" s="180"/>
      <c r="K25" s="181"/>
    </row>
    <row r="26" spans="2:11" s="1" customFormat="1" ht="12" customHeight="1">
      <c r="B26" s="180"/>
      <c r="D26" s="23" t="s">
        <v>27</v>
      </c>
      <c r="K26" s="181"/>
    </row>
    <row r="27" spans="2:11" s="7" customFormat="1" ht="71.25" customHeight="1">
      <c r="B27" s="192"/>
      <c r="E27" s="238"/>
      <c r="F27" s="238"/>
      <c r="G27" s="238"/>
      <c r="H27" s="238"/>
      <c r="K27" s="193"/>
    </row>
    <row r="28" spans="2:11" s="1" customFormat="1" ht="6.95" customHeight="1">
      <c r="B28" s="180"/>
      <c r="K28" s="181"/>
    </row>
    <row r="29" spans="2:11" s="1" customFormat="1" ht="6.95" customHeight="1">
      <c r="B29" s="180"/>
      <c r="D29" s="47"/>
      <c r="E29" s="47"/>
      <c r="F29" s="47"/>
      <c r="G29" s="47"/>
      <c r="H29" s="47"/>
      <c r="I29" s="47"/>
      <c r="J29" s="47"/>
      <c r="K29" s="194"/>
    </row>
    <row r="30" spans="2:11" s="1" customFormat="1" ht="25.35" customHeight="1">
      <c r="B30" s="180"/>
      <c r="D30" s="83" t="s">
        <v>29</v>
      </c>
      <c r="J30" s="59">
        <f>ROUND(J82,2)</f>
        <v>0</v>
      </c>
      <c r="K30" s="181"/>
    </row>
    <row r="31" spans="2:11" ht="12">
      <c r="B31" s="182"/>
      <c r="K31" s="183"/>
    </row>
    <row r="32" spans="2:11" ht="12">
      <c r="B32" s="182"/>
      <c r="K32" s="183"/>
    </row>
    <row r="33" spans="2:11" s="1" customFormat="1" ht="6.95" customHeight="1">
      <c r="B33" s="184"/>
      <c r="C33" s="41"/>
      <c r="D33" s="41"/>
      <c r="E33" s="41"/>
      <c r="F33" s="41"/>
      <c r="G33" s="41"/>
      <c r="H33" s="41"/>
      <c r="I33" s="41"/>
      <c r="J33" s="41"/>
      <c r="K33" s="185"/>
    </row>
    <row r="34" spans="2:11" s="1" customFormat="1" ht="24.95" customHeight="1">
      <c r="B34" s="180"/>
      <c r="C34" s="18" t="s">
        <v>83</v>
      </c>
      <c r="K34" s="181"/>
    </row>
    <row r="35" spans="2:11" s="1" customFormat="1" ht="6.95" customHeight="1">
      <c r="B35" s="180"/>
      <c r="K35" s="181"/>
    </row>
    <row r="36" spans="2:11" s="1" customFormat="1" ht="12" customHeight="1">
      <c r="B36" s="180"/>
      <c r="C36" s="23" t="s">
        <v>13</v>
      </c>
      <c r="K36" s="181"/>
    </row>
    <row r="37" spans="2:11" s="1" customFormat="1" ht="16.5" customHeight="1">
      <c r="B37" s="180"/>
      <c r="E37" s="254" t="str">
        <f>E7</f>
        <v>Oprava gynekologicko-porodnické oddělení</v>
      </c>
      <c r="F37" s="254"/>
      <c r="G37" s="254"/>
      <c r="H37" s="254"/>
      <c r="K37" s="181"/>
    </row>
    <row r="38" spans="2:11" s="1" customFormat="1" ht="12" customHeight="1">
      <c r="B38" s="180"/>
      <c r="C38" s="23" t="s">
        <v>82</v>
      </c>
      <c r="K38" s="181"/>
    </row>
    <row r="39" spans="2:11" s="1" customFormat="1" ht="16.5" customHeight="1">
      <c r="B39" s="180"/>
      <c r="E39" s="245" t="str">
        <f>E9</f>
        <v>09 Koupelna nadstandartní pokoj, Koupelna pokoj 17</v>
      </c>
      <c r="F39" s="245"/>
      <c r="G39" s="245"/>
      <c r="H39" s="245"/>
      <c r="K39" s="181"/>
    </row>
    <row r="40" spans="2:11" s="1" customFormat="1" ht="6.95" customHeight="1">
      <c r="B40" s="180"/>
      <c r="K40" s="181"/>
    </row>
    <row r="41" spans="2:11" s="1" customFormat="1" ht="12" customHeight="1">
      <c r="B41" s="180"/>
      <c r="C41" s="23" t="s">
        <v>16</v>
      </c>
      <c r="F41" s="21" t="str">
        <f>F12</f>
        <v xml:space="preserve"> </v>
      </c>
      <c r="I41" s="23" t="s">
        <v>18</v>
      </c>
      <c r="J41" s="46">
        <f>IF(J12="","",J12)</f>
        <v>45194</v>
      </c>
      <c r="K41" s="181"/>
    </row>
    <row r="42" spans="2:11" s="1" customFormat="1" ht="6.95" customHeight="1">
      <c r="B42" s="180"/>
      <c r="K42" s="181"/>
    </row>
    <row r="43" spans="2:11" s="1" customFormat="1" ht="15.2" customHeight="1">
      <c r="B43" s="180"/>
      <c r="C43" s="23" t="s">
        <v>19</v>
      </c>
      <c r="F43" s="21" t="str">
        <f>E15</f>
        <v xml:space="preserve"> </v>
      </c>
      <c r="I43" s="23" t="s">
        <v>23</v>
      </c>
      <c r="J43" s="24" t="str">
        <f>E21</f>
        <v>Ing. arch. Jan Ságl</v>
      </c>
      <c r="K43" s="181"/>
    </row>
    <row r="44" spans="2:11" s="1" customFormat="1" ht="15.2" customHeight="1">
      <c r="B44" s="180"/>
      <c r="C44" s="23" t="s">
        <v>22</v>
      </c>
      <c r="F44" s="21" t="str">
        <f>IF(E18="","",E18)</f>
        <v xml:space="preserve"> </v>
      </c>
      <c r="I44" s="23" t="s">
        <v>26</v>
      </c>
      <c r="J44" s="24" t="str">
        <f>E24</f>
        <v xml:space="preserve"> </v>
      </c>
      <c r="K44" s="181"/>
    </row>
    <row r="45" spans="2:11" s="1" customFormat="1" ht="10.35" customHeight="1">
      <c r="B45" s="180"/>
      <c r="K45" s="181"/>
    </row>
    <row r="46" spans="2:11" s="1" customFormat="1" ht="29.25" customHeight="1">
      <c r="B46" s="180"/>
      <c r="C46" s="95" t="s">
        <v>84</v>
      </c>
      <c r="D46" s="87"/>
      <c r="E46" s="87"/>
      <c r="F46" s="87"/>
      <c r="G46" s="87"/>
      <c r="H46" s="87"/>
      <c r="I46" s="87"/>
      <c r="J46" s="96" t="s">
        <v>85</v>
      </c>
      <c r="K46" s="195"/>
    </row>
    <row r="47" spans="2:11" s="1" customFormat="1" ht="10.35" customHeight="1">
      <c r="B47" s="180"/>
      <c r="K47" s="181"/>
    </row>
    <row r="48" spans="2:11" s="1" customFormat="1" ht="23.1" customHeight="1">
      <c r="B48" s="196"/>
      <c r="C48" s="197"/>
      <c r="D48" s="197"/>
      <c r="E48" s="197"/>
      <c r="F48" s="197"/>
      <c r="G48" s="197"/>
      <c r="H48" s="197"/>
      <c r="I48" s="197"/>
      <c r="J48" s="197"/>
      <c r="K48" s="198"/>
    </row>
    <row r="49" spans="1:11" s="8" customFormat="1" ht="24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9" customFormat="1" ht="20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9" customFormat="1" ht="20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9" customFormat="1" ht="20.1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1" s="9" customFormat="1" ht="20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9" customFormat="1" ht="20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9" customFormat="1" ht="20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9" customFormat="1" ht="20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9" customFormat="1" ht="20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8" customFormat="1" ht="24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9" customFormat="1" ht="20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9" customFormat="1" ht="20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9" customFormat="1" ht="20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9" customFormat="1" ht="20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9" customFormat="1" ht="20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9" customFormat="1" ht="20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9" customFormat="1" ht="20.1" customHeight="1">
      <c r="A65"/>
      <c r="B65"/>
      <c r="C65"/>
      <c r="D65"/>
      <c r="E65"/>
      <c r="F65"/>
      <c r="G65"/>
      <c r="H65"/>
      <c r="I65"/>
      <c r="J65"/>
      <c r="K65"/>
    </row>
    <row r="66" spans="1:11" s="9" customFormat="1" ht="20.1" customHeight="1">
      <c r="A66"/>
      <c r="B66"/>
      <c r="C66"/>
      <c r="D66"/>
      <c r="E66"/>
      <c r="F66"/>
      <c r="G66"/>
      <c r="H66"/>
      <c r="I66"/>
      <c r="J66"/>
      <c r="K66"/>
    </row>
    <row r="67" spans="1:11" s="9" customFormat="1" ht="20.1" customHeight="1" thickBo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20.1" customHeight="1">
      <c r="A68" s="1"/>
      <c r="B68" s="152"/>
      <c r="C68" s="153"/>
      <c r="D68" s="153"/>
      <c r="E68" s="153"/>
      <c r="F68" s="153"/>
      <c r="G68" s="153"/>
      <c r="H68" s="153"/>
      <c r="I68" s="153"/>
      <c r="J68" s="154"/>
      <c r="K68" s="41"/>
    </row>
    <row r="69" spans="1:11" s="9" customFormat="1" ht="20.1" customHeight="1">
      <c r="A69" s="1"/>
      <c r="B69" s="155"/>
      <c r="C69" s="18" t="s">
        <v>88</v>
      </c>
      <c r="D69" s="1"/>
      <c r="E69" s="1"/>
      <c r="F69" s="1"/>
      <c r="G69" s="1"/>
      <c r="H69" s="1"/>
      <c r="I69" s="1"/>
      <c r="J69" s="156"/>
      <c r="K69" s="1"/>
    </row>
    <row r="70" spans="1:11" s="9" customFormat="1" ht="20.1" customHeight="1">
      <c r="A70" s="1"/>
      <c r="B70" s="155"/>
      <c r="C70" s="1"/>
      <c r="D70" s="1"/>
      <c r="E70" s="1"/>
      <c r="F70" s="1"/>
      <c r="G70" s="1"/>
      <c r="H70" s="1"/>
      <c r="I70" s="1"/>
      <c r="J70" s="156"/>
      <c r="K70" s="1"/>
    </row>
    <row r="71" spans="1:11" s="9" customFormat="1" ht="20.1" customHeight="1">
      <c r="A71" s="1"/>
      <c r="B71" s="155"/>
      <c r="C71" s="23" t="s">
        <v>13</v>
      </c>
      <c r="D71" s="1"/>
      <c r="E71" s="1"/>
      <c r="F71" s="1"/>
      <c r="G71" s="1"/>
      <c r="H71" s="1"/>
      <c r="I71" s="1"/>
      <c r="J71" s="156"/>
      <c r="K71" s="1"/>
    </row>
    <row r="72" spans="1:11" s="9" customFormat="1" ht="20.1" customHeight="1">
      <c r="A72" s="1"/>
      <c r="B72" s="155"/>
      <c r="C72" s="1"/>
      <c r="D72" s="1"/>
      <c r="E72" s="254" t="str">
        <f>E7</f>
        <v>Oprava gynekologicko-porodnické oddělení</v>
      </c>
      <c r="F72" s="255"/>
      <c r="G72" s="255"/>
      <c r="H72" s="255"/>
      <c r="I72" s="1"/>
      <c r="J72" s="156"/>
      <c r="K72" s="1"/>
    </row>
    <row r="73" spans="1:11" s="9" customFormat="1" ht="20.1" customHeight="1">
      <c r="A73" s="1"/>
      <c r="B73" s="155"/>
      <c r="C73" s="23" t="s">
        <v>82</v>
      </c>
      <c r="D73" s="1"/>
      <c r="E73" s="1"/>
      <c r="F73" s="1"/>
      <c r="G73" s="1"/>
      <c r="H73" s="1"/>
      <c r="I73" s="1"/>
      <c r="J73" s="156"/>
      <c r="K73" s="1"/>
    </row>
    <row r="74" spans="2:10" s="1" customFormat="1" ht="21.75" customHeight="1">
      <c r="B74" s="155"/>
      <c r="E74" s="245" t="str">
        <f>E9</f>
        <v>09 Koupelna nadstandartní pokoj, Koupelna pokoj 17</v>
      </c>
      <c r="F74" s="256"/>
      <c r="G74" s="256"/>
      <c r="H74" s="256"/>
      <c r="J74" s="156"/>
    </row>
    <row r="75" spans="2:10" s="1" customFormat="1" ht="6.95" customHeight="1">
      <c r="B75" s="155"/>
      <c r="J75" s="156"/>
    </row>
    <row r="76" spans="2:10" s="1" customFormat="1" ht="15" customHeight="1">
      <c r="B76" s="155"/>
      <c r="C76" s="23" t="s">
        <v>16</v>
      </c>
      <c r="F76" s="21" t="str">
        <f>F12</f>
        <v xml:space="preserve"> </v>
      </c>
      <c r="I76" s="23" t="s">
        <v>18</v>
      </c>
      <c r="J76" s="157">
        <f>IF(J12="","",J12)</f>
        <v>45194</v>
      </c>
    </row>
    <row r="77" spans="2:10" s="1" customFormat="1" ht="15" customHeight="1">
      <c r="B77" s="155"/>
      <c r="J77" s="156"/>
    </row>
    <row r="78" spans="2:10" s="1" customFormat="1" ht="15" customHeight="1">
      <c r="B78" s="155"/>
      <c r="C78" s="23" t="s">
        <v>19</v>
      </c>
      <c r="F78" s="21" t="str">
        <f>E15</f>
        <v xml:space="preserve"> </v>
      </c>
      <c r="I78" s="23" t="s">
        <v>23</v>
      </c>
      <c r="J78" s="158" t="str">
        <f>E21</f>
        <v>Ing. arch. Jan Ságl</v>
      </c>
    </row>
    <row r="79" spans="1:11" s="141" customFormat="1" ht="15" customHeight="1">
      <c r="A79" s="1"/>
      <c r="B79" s="155"/>
      <c r="C79" s="23" t="s">
        <v>22</v>
      </c>
      <c r="D79" s="1"/>
      <c r="E79" s="1"/>
      <c r="F79" s="21" t="str">
        <f>IF(E18="","",E18)</f>
        <v xml:space="preserve"> </v>
      </c>
      <c r="G79" s="1"/>
      <c r="H79" s="1"/>
      <c r="I79" s="23" t="s">
        <v>26</v>
      </c>
      <c r="J79" s="158" t="str">
        <f>E24</f>
        <v xml:space="preserve"> </v>
      </c>
      <c r="K79" s="1"/>
    </row>
    <row r="80" spans="2:10" s="1" customFormat="1" ht="15" customHeight="1">
      <c r="B80" s="155"/>
      <c r="J80" s="156"/>
    </row>
    <row r="81" spans="1:11" s="1" customFormat="1" ht="15" customHeight="1">
      <c r="A81" s="10"/>
      <c r="B81" s="159"/>
      <c r="C81" s="103" t="s">
        <v>89</v>
      </c>
      <c r="D81" s="104" t="s">
        <v>54</v>
      </c>
      <c r="E81" s="104" t="s">
        <v>50</v>
      </c>
      <c r="F81" s="104" t="s">
        <v>51</v>
      </c>
      <c r="G81" s="104" t="s">
        <v>90</v>
      </c>
      <c r="H81" s="104" t="s">
        <v>91</v>
      </c>
      <c r="I81" s="104" t="s">
        <v>92</v>
      </c>
      <c r="J81" s="160" t="s">
        <v>85</v>
      </c>
      <c r="K81" s="106" t="s">
        <v>93</v>
      </c>
    </row>
    <row r="82" spans="2:10" s="1" customFormat="1" ht="15" customHeight="1">
      <c r="B82" s="155"/>
      <c r="C82" s="57" t="s">
        <v>100</v>
      </c>
      <c r="J82" s="161">
        <f>SUM(J85:J124)</f>
        <v>0</v>
      </c>
    </row>
    <row r="83" spans="1:11" s="1" customFormat="1" ht="15" customHeight="1">
      <c r="A83" s="11"/>
      <c r="B83" s="162"/>
      <c r="C83" s="11"/>
      <c r="D83" s="112"/>
      <c r="E83" s="113"/>
      <c r="F83" s="113"/>
      <c r="G83" s="11"/>
      <c r="H83" s="11"/>
      <c r="I83" s="11"/>
      <c r="J83" s="163"/>
      <c r="K83" s="11"/>
    </row>
    <row r="84" spans="1:11" s="1" customFormat="1" ht="15" customHeight="1">
      <c r="A84" s="11"/>
      <c r="B84" s="162"/>
      <c r="C84" s="11"/>
      <c r="D84" s="112"/>
      <c r="E84" s="113"/>
      <c r="F84" s="120" t="s">
        <v>134</v>
      </c>
      <c r="G84" s="11"/>
      <c r="H84" s="11"/>
      <c r="I84" s="11"/>
      <c r="J84" s="163"/>
      <c r="K84" s="11"/>
    </row>
    <row r="85" spans="1:11" s="1" customFormat="1" ht="15" customHeight="1">
      <c r="A85"/>
      <c r="B85" s="166"/>
      <c r="C85" s="123">
        <v>1</v>
      </c>
      <c r="D85" s="123" t="s">
        <v>103</v>
      </c>
      <c r="E85" s="124"/>
      <c r="F85" s="125" t="s">
        <v>143</v>
      </c>
      <c r="G85" s="126" t="s">
        <v>111</v>
      </c>
      <c r="H85" s="127">
        <v>1</v>
      </c>
      <c r="I85" s="128">
        <v>0</v>
      </c>
      <c r="J85" s="164">
        <f>ROUND(I85*H85,2)</f>
        <v>0</v>
      </c>
      <c r="K85"/>
    </row>
    <row r="86" spans="1:12" s="1" customFormat="1" ht="30" customHeight="1">
      <c r="A86"/>
      <c r="B86" s="166"/>
      <c r="C86"/>
      <c r="D86"/>
      <c r="E86"/>
      <c r="F86" s="148" t="s">
        <v>145</v>
      </c>
      <c r="G86"/>
      <c r="H86"/>
      <c r="I86"/>
      <c r="J86" s="167"/>
      <c r="K86"/>
      <c r="L86"/>
    </row>
    <row r="87" spans="1:12" s="1" customFormat="1" ht="15" customHeight="1">
      <c r="A87"/>
      <c r="B87" s="166"/>
      <c r="C87" s="123">
        <v>2</v>
      </c>
      <c r="D87" s="123" t="s">
        <v>103</v>
      </c>
      <c r="E87" s="124"/>
      <c r="F87" s="125" t="s">
        <v>149</v>
      </c>
      <c r="G87" s="126" t="s">
        <v>111</v>
      </c>
      <c r="H87" s="127">
        <v>1</v>
      </c>
      <c r="I87" s="128">
        <v>0</v>
      </c>
      <c r="J87" s="164">
        <f aca="true" t="shared" si="0" ref="J87:J92">ROUND(I87*H87,2)</f>
        <v>0</v>
      </c>
      <c r="K87"/>
      <c r="L87"/>
    </row>
    <row r="88" spans="1:12" s="1" customFormat="1" ht="27" customHeight="1">
      <c r="A88"/>
      <c r="B88" s="166"/>
      <c r="C88" s="123">
        <v>3</v>
      </c>
      <c r="D88" s="123" t="s">
        <v>103</v>
      </c>
      <c r="E88" s="124"/>
      <c r="F88" s="125" t="s">
        <v>244</v>
      </c>
      <c r="G88" s="126" t="s">
        <v>106</v>
      </c>
      <c r="H88" s="127">
        <f>(12+9)*4</f>
        <v>84</v>
      </c>
      <c r="I88" s="128">
        <v>0</v>
      </c>
      <c r="J88" s="164">
        <f t="shared" si="0"/>
        <v>0</v>
      </c>
      <c r="K88"/>
      <c r="L88"/>
    </row>
    <row r="89" spans="1:12" s="1" customFormat="1" ht="15" customHeight="1">
      <c r="A89"/>
      <c r="B89" s="166"/>
      <c r="C89" s="123">
        <v>4</v>
      </c>
      <c r="D89" s="123" t="s">
        <v>103</v>
      </c>
      <c r="E89" s="124"/>
      <c r="F89" s="125" t="s">
        <v>150</v>
      </c>
      <c r="G89" s="126" t="s">
        <v>108</v>
      </c>
      <c r="H89" s="127">
        <v>1.8</v>
      </c>
      <c r="I89" s="128">
        <v>0</v>
      </c>
      <c r="J89" s="164">
        <f t="shared" si="0"/>
        <v>0</v>
      </c>
      <c r="K89"/>
      <c r="L89"/>
    </row>
    <row r="90" spans="1:12" s="1" customFormat="1" ht="22.5" customHeight="1">
      <c r="A90"/>
      <c r="B90" s="166"/>
      <c r="C90" s="123">
        <v>5</v>
      </c>
      <c r="D90" s="123" t="s">
        <v>103</v>
      </c>
      <c r="E90" s="124"/>
      <c r="F90" s="125" t="s">
        <v>153</v>
      </c>
      <c r="G90" s="126" t="s">
        <v>111</v>
      </c>
      <c r="H90" s="127">
        <v>2</v>
      </c>
      <c r="I90" s="128">
        <v>0</v>
      </c>
      <c r="J90" s="164">
        <f t="shared" si="0"/>
        <v>0</v>
      </c>
      <c r="K90"/>
      <c r="L90"/>
    </row>
    <row r="91" spans="1:12" s="1" customFormat="1" ht="39.75" customHeight="1">
      <c r="A91"/>
      <c r="B91" s="166"/>
      <c r="C91" s="123">
        <v>6</v>
      </c>
      <c r="D91" s="123" t="s">
        <v>103</v>
      </c>
      <c r="E91" s="124"/>
      <c r="F91" s="125" t="s">
        <v>230</v>
      </c>
      <c r="G91" s="126" t="s">
        <v>106</v>
      </c>
      <c r="H91" s="127">
        <f>3.5+6</f>
        <v>9.5</v>
      </c>
      <c r="I91" s="128">
        <v>0</v>
      </c>
      <c r="J91" s="186">
        <f t="shared" si="0"/>
        <v>0</v>
      </c>
      <c r="K91"/>
      <c r="L91"/>
    </row>
    <row r="92" spans="1:12" s="1" customFormat="1" ht="15" customHeight="1">
      <c r="A92"/>
      <c r="B92" s="166"/>
      <c r="C92" s="123">
        <v>7</v>
      </c>
      <c r="D92" s="123" t="s">
        <v>103</v>
      </c>
      <c r="E92" s="124"/>
      <c r="F92" s="125" t="s">
        <v>241</v>
      </c>
      <c r="G92" s="126" t="s">
        <v>106</v>
      </c>
      <c r="H92" s="127">
        <v>15</v>
      </c>
      <c r="I92" s="128">
        <v>0</v>
      </c>
      <c r="J92" s="186">
        <f t="shared" si="0"/>
        <v>0</v>
      </c>
      <c r="K92"/>
      <c r="L92"/>
    </row>
    <row r="93" spans="2:10" ht="15" customHeight="1">
      <c r="B93" s="166"/>
      <c r="J93" s="167"/>
    </row>
    <row r="94" spans="1:11" ht="15" customHeight="1">
      <c r="A94" s="11"/>
      <c r="B94" s="162"/>
      <c r="C94" s="123"/>
      <c r="D94" s="142"/>
      <c r="E94" s="143"/>
      <c r="F94" s="120" t="s">
        <v>156</v>
      </c>
      <c r="G94" s="145"/>
      <c r="H94" s="146"/>
      <c r="I94" s="147"/>
      <c r="J94" s="165"/>
      <c r="K94" s="11"/>
    </row>
    <row r="95" spans="1:11" ht="12">
      <c r="A95" s="11"/>
      <c r="B95" s="162"/>
      <c r="C95" s="123">
        <v>8</v>
      </c>
      <c r="D95" s="123" t="s">
        <v>103</v>
      </c>
      <c r="E95" s="124"/>
      <c r="F95" s="125" t="s">
        <v>158</v>
      </c>
      <c r="G95" s="126" t="s">
        <v>106</v>
      </c>
      <c r="H95" s="127">
        <f>(1+3)*4.5</f>
        <v>18</v>
      </c>
      <c r="I95" s="128">
        <v>0</v>
      </c>
      <c r="J95" s="164">
        <f>ROUND(I95*H95,2)</f>
        <v>0</v>
      </c>
      <c r="K95" s="11"/>
    </row>
    <row r="96" spans="1:11" ht="12">
      <c r="A96" s="11"/>
      <c r="B96" s="162"/>
      <c r="C96" s="123"/>
      <c r="D96" s="123"/>
      <c r="E96" s="124"/>
      <c r="F96" s="125"/>
      <c r="G96" s="126"/>
      <c r="H96" s="127"/>
      <c r="I96" s="128"/>
      <c r="J96" s="164"/>
      <c r="K96" s="11"/>
    </row>
    <row r="97" spans="1:11" ht="12.75">
      <c r="A97" s="11"/>
      <c r="B97" s="162"/>
      <c r="C97" s="123"/>
      <c r="D97" s="123"/>
      <c r="E97" s="124"/>
      <c r="F97" s="120" t="s">
        <v>159</v>
      </c>
      <c r="G97" s="126"/>
      <c r="H97" s="127"/>
      <c r="I97" s="128"/>
      <c r="J97" s="164"/>
      <c r="K97" s="11"/>
    </row>
    <row r="98" spans="1:11" ht="24">
      <c r="A98" s="11"/>
      <c r="B98" s="162"/>
      <c r="C98" s="123">
        <v>9</v>
      </c>
      <c r="D98" s="123" t="s">
        <v>103</v>
      </c>
      <c r="E98" s="124"/>
      <c r="F98" s="125" t="s">
        <v>202</v>
      </c>
      <c r="G98" s="126" t="s">
        <v>106</v>
      </c>
      <c r="H98" s="127">
        <f>H88</f>
        <v>84</v>
      </c>
      <c r="I98" s="128">
        <v>0</v>
      </c>
      <c r="J98" s="164">
        <f>ROUND(I98*H98,2)</f>
        <v>0</v>
      </c>
      <c r="K98" s="11"/>
    </row>
    <row r="99" spans="1:11" ht="12">
      <c r="A99" s="11"/>
      <c r="B99" s="162"/>
      <c r="C99" s="123">
        <v>10</v>
      </c>
      <c r="D99" s="123" t="s">
        <v>103</v>
      </c>
      <c r="E99" s="124"/>
      <c r="F99" s="125" t="s">
        <v>192</v>
      </c>
      <c r="G99" s="126" t="s">
        <v>106</v>
      </c>
      <c r="H99" s="127">
        <f>H98</f>
        <v>84</v>
      </c>
      <c r="I99" s="128">
        <v>0</v>
      </c>
      <c r="J99" s="164">
        <f>ROUND(I99*H99,2)</f>
        <v>0</v>
      </c>
      <c r="K99" s="11"/>
    </row>
    <row r="100" spans="1:11" ht="24">
      <c r="A100" s="11"/>
      <c r="B100" s="162"/>
      <c r="C100" s="123">
        <v>11</v>
      </c>
      <c r="D100" s="123" t="s">
        <v>103</v>
      </c>
      <c r="E100" s="124"/>
      <c r="F100" s="125" t="s">
        <v>162</v>
      </c>
      <c r="G100" s="126" t="s">
        <v>106</v>
      </c>
      <c r="H100" s="127">
        <f>H91</f>
        <v>9.5</v>
      </c>
      <c r="I100" s="128">
        <v>0</v>
      </c>
      <c r="J100" s="164">
        <f>ROUND(I100*H100,2)</f>
        <v>0</v>
      </c>
      <c r="K100" s="11"/>
    </row>
    <row r="101" spans="1:11" ht="12">
      <c r="A101" s="11"/>
      <c r="B101" s="162"/>
      <c r="C101" s="123"/>
      <c r="D101" s="123"/>
      <c r="E101" s="124"/>
      <c r="F101" s="148" t="s">
        <v>161</v>
      </c>
      <c r="G101" s="126"/>
      <c r="H101" s="127"/>
      <c r="I101" s="128"/>
      <c r="J101" s="164"/>
      <c r="K101" s="11"/>
    </row>
    <row r="102" spans="1:11" ht="36">
      <c r="A102" s="11"/>
      <c r="B102" s="162"/>
      <c r="C102" s="123">
        <v>12</v>
      </c>
      <c r="D102" s="123" t="s">
        <v>103</v>
      </c>
      <c r="E102" s="124"/>
      <c r="F102" s="125" t="s">
        <v>246</v>
      </c>
      <c r="G102" s="126" t="s">
        <v>106</v>
      </c>
      <c r="H102" s="127">
        <f>H91*2</f>
        <v>19</v>
      </c>
      <c r="I102" s="128">
        <v>0</v>
      </c>
      <c r="J102" s="164">
        <f>ROUND(I102*H102,2)</f>
        <v>0</v>
      </c>
      <c r="K102" s="11"/>
    </row>
    <row r="103" spans="1:11" ht="12">
      <c r="A103" s="11"/>
      <c r="B103" s="162"/>
      <c r="C103" s="123"/>
      <c r="D103" s="142"/>
      <c r="E103" s="143"/>
      <c r="G103" s="145"/>
      <c r="H103" s="146"/>
      <c r="I103" s="147"/>
      <c r="J103" s="165"/>
      <c r="K103" s="11"/>
    </row>
    <row r="104" spans="1:11" ht="24">
      <c r="A104" s="11"/>
      <c r="B104" s="162"/>
      <c r="C104" s="123">
        <v>13</v>
      </c>
      <c r="D104" s="123" t="s">
        <v>103</v>
      </c>
      <c r="E104" s="124"/>
      <c r="F104" s="125" t="s">
        <v>232</v>
      </c>
      <c r="G104" s="126" t="s">
        <v>106</v>
      </c>
      <c r="H104" s="127">
        <f>H100</f>
        <v>9.5</v>
      </c>
      <c r="I104" s="128">
        <v>0</v>
      </c>
      <c r="J104" s="164">
        <f>ROUND(I104*H104,2)</f>
        <v>0</v>
      </c>
      <c r="K104" s="11"/>
    </row>
    <row r="105" spans="1:11" ht="24">
      <c r="A105" s="11"/>
      <c r="B105" s="162"/>
      <c r="C105" s="123">
        <v>14</v>
      </c>
      <c r="D105" s="123" t="s">
        <v>103</v>
      </c>
      <c r="E105" s="124"/>
      <c r="F105" s="125" t="s">
        <v>243</v>
      </c>
      <c r="G105" s="126" t="s">
        <v>106</v>
      </c>
      <c r="H105" s="127">
        <f>H88/4*2</f>
        <v>42</v>
      </c>
      <c r="I105" s="128">
        <v>0</v>
      </c>
      <c r="J105" s="164">
        <f>ROUND(I105*H105,2)</f>
        <v>0</v>
      </c>
      <c r="K105" s="11"/>
    </row>
    <row r="106" spans="1:11" ht="12">
      <c r="A106" s="11"/>
      <c r="B106" s="162"/>
      <c r="C106" s="123">
        <v>15</v>
      </c>
      <c r="D106" s="123" t="s">
        <v>103</v>
      </c>
      <c r="E106" s="124"/>
      <c r="F106" s="125" t="s">
        <v>167</v>
      </c>
      <c r="G106" s="126" t="s">
        <v>106</v>
      </c>
      <c r="H106" s="127">
        <f>H100</f>
        <v>9.5</v>
      </c>
      <c r="I106" s="128">
        <v>0</v>
      </c>
      <c r="J106" s="164">
        <f>ROUND(I106*H106,2)</f>
        <v>0</v>
      </c>
      <c r="K106" s="11"/>
    </row>
    <row r="107" spans="1:11" ht="24">
      <c r="A107" s="11"/>
      <c r="B107" s="162"/>
      <c r="C107" s="123">
        <v>16</v>
      </c>
      <c r="D107" s="123" t="s">
        <v>103</v>
      </c>
      <c r="E107" s="124"/>
      <c r="F107" s="125" t="s">
        <v>221</v>
      </c>
      <c r="G107" s="126" t="s">
        <v>106</v>
      </c>
      <c r="H107" s="127">
        <f>H98/4*(4-1.5)</f>
        <v>52.5</v>
      </c>
      <c r="I107" s="128">
        <v>0</v>
      </c>
      <c r="J107" s="164">
        <f>ROUND(I107*H107,2)</f>
        <v>0</v>
      </c>
      <c r="K107" s="11"/>
    </row>
    <row r="108" spans="1:11" ht="12">
      <c r="A108" s="11"/>
      <c r="B108" s="162"/>
      <c r="C108" s="123">
        <v>17</v>
      </c>
      <c r="D108" s="123" t="s">
        <v>103</v>
      </c>
      <c r="E108" s="124"/>
      <c r="F108" s="125" t="s">
        <v>200</v>
      </c>
      <c r="G108" s="126" t="s">
        <v>108</v>
      </c>
      <c r="H108" s="127">
        <f>H89</f>
        <v>1.8</v>
      </c>
      <c r="I108" s="128">
        <v>0</v>
      </c>
      <c r="J108" s="164">
        <f>ROUND(I108*H108,2)</f>
        <v>0</v>
      </c>
      <c r="K108" s="11"/>
    </row>
    <row r="109" spans="1:11" ht="12">
      <c r="A109" s="11"/>
      <c r="B109" s="162"/>
      <c r="C109" s="123"/>
      <c r="D109" s="142"/>
      <c r="E109" s="143"/>
      <c r="F109" s="144"/>
      <c r="G109" s="145"/>
      <c r="H109" s="146"/>
      <c r="I109" s="147"/>
      <c r="J109" s="165"/>
      <c r="K109" s="11"/>
    </row>
    <row r="110" spans="1:11" ht="12.75">
      <c r="A110" s="11"/>
      <c r="B110" s="162"/>
      <c r="C110" s="123"/>
      <c r="D110" s="112" t="s">
        <v>68</v>
      </c>
      <c r="E110" s="120" t="s">
        <v>102</v>
      </c>
      <c r="F110" s="120" t="s">
        <v>110</v>
      </c>
      <c r="G110" s="11"/>
      <c r="H110" s="11"/>
      <c r="I110" s="11"/>
      <c r="J110" s="169"/>
      <c r="K110" s="11"/>
    </row>
    <row r="111" spans="1:11" ht="12">
      <c r="A111" s="1"/>
      <c r="B111" s="170"/>
      <c r="C111" s="123">
        <v>18</v>
      </c>
      <c r="D111" s="123" t="s">
        <v>103</v>
      </c>
      <c r="E111" s="124"/>
      <c r="F111" s="125" t="s">
        <v>172</v>
      </c>
      <c r="G111" s="126" t="s">
        <v>104</v>
      </c>
      <c r="H111" s="127">
        <v>8</v>
      </c>
      <c r="I111" s="128">
        <v>0</v>
      </c>
      <c r="J111" s="164">
        <f>ROUND(I111*H111,2)</f>
        <v>0</v>
      </c>
      <c r="K111" s="151"/>
    </row>
    <row r="112" spans="1:11" ht="12">
      <c r="A112" s="1"/>
      <c r="B112" s="170"/>
      <c r="C112" s="123">
        <v>19</v>
      </c>
      <c r="D112" s="123" t="s">
        <v>103</v>
      </c>
      <c r="E112" s="124"/>
      <c r="F112" s="125" t="s">
        <v>292</v>
      </c>
      <c r="G112" s="126" t="s">
        <v>104</v>
      </c>
      <c r="H112" s="127">
        <v>2</v>
      </c>
      <c r="I112" s="128">
        <v>0</v>
      </c>
      <c r="J112" s="164">
        <f>ROUND(I112*H112,2)</f>
        <v>0</v>
      </c>
      <c r="K112" s="151"/>
    </row>
    <row r="113" spans="1:11" ht="12">
      <c r="A113" s="1"/>
      <c r="B113" s="170"/>
      <c r="C113" s="123">
        <v>20</v>
      </c>
      <c r="D113" s="123" t="s">
        <v>103</v>
      </c>
      <c r="E113" s="124"/>
      <c r="F113" s="125" t="s">
        <v>224</v>
      </c>
      <c r="K113" s="151"/>
    </row>
    <row r="114" spans="1:11" ht="12">
      <c r="A114" s="1"/>
      <c r="B114" s="170"/>
      <c r="C114" s="123"/>
      <c r="D114" s="123"/>
      <c r="E114" s="124"/>
      <c r="F114" s="150" t="s">
        <v>245</v>
      </c>
      <c r="G114" s="126" t="s">
        <v>111</v>
      </c>
      <c r="H114" s="127">
        <v>2</v>
      </c>
      <c r="I114" s="128">
        <v>0</v>
      </c>
      <c r="J114" s="164">
        <f>ROUND(I114*H114,2)</f>
        <v>0</v>
      </c>
      <c r="K114" s="149"/>
    </row>
    <row r="115" spans="1:11" ht="24">
      <c r="A115" s="1"/>
      <c r="B115" s="170"/>
      <c r="C115" s="123">
        <v>21</v>
      </c>
      <c r="D115" s="123" t="s">
        <v>103</v>
      </c>
      <c r="E115" s="124"/>
      <c r="F115" s="125" t="s">
        <v>270</v>
      </c>
      <c r="G115" s="126"/>
      <c r="H115" s="127">
        <v>1</v>
      </c>
      <c r="I115" s="128">
        <v>0</v>
      </c>
      <c r="J115" s="164">
        <f>ROUND(I115*H115,2)</f>
        <v>0</v>
      </c>
      <c r="K115" s="149"/>
    </row>
    <row r="116" spans="1:11" ht="12">
      <c r="A116" s="1"/>
      <c r="B116" s="170"/>
      <c r="C116" s="123"/>
      <c r="D116" s="142"/>
      <c r="E116" s="143"/>
      <c r="F116" s="144"/>
      <c r="G116" s="145"/>
      <c r="H116" s="146"/>
      <c r="I116" s="147"/>
      <c r="J116" s="165"/>
      <c r="K116" s="149"/>
    </row>
    <row r="117" spans="1:11" ht="12.75">
      <c r="A117" s="1"/>
      <c r="B117" s="170"/>
      <c r="C117" s="123"/>
      <c r="D117" s="142"/>
      <c r="E117" s="143"/>
      <c r="F117" s="120" t="s">
        <v>175</v>
      </c>
      <c r="G117" s="145"/>
      <c r="H117" s="146"/>
      <c r="I117" s="147"/>
      <c r="J117" s="165"/>
      <c r="K117" s="149"/>
    </row>
    <row r="118" spans="1:11" ht="12">
      <c r="A118" s="1"/>
      <c r="B118" s="170"/>
      <c r="C118" s="123">
        <v>22</v>
      </c>
      <c r="D118" s="123" t="s">
        <v>103</v>
      </c>
      <c r="E118" s="124"/>
      <c r="F118" s="125" t="s">
        <v>233</v>
      </c>
      <c r="G118" s="126" t="s">
        <v>170</v>
      </c>
      <c r="H118" s="127">
        <v>2</v>
      </c>
      <c r="I118" s="128">
        <v>0</v>
      </c>
      <c r="J118" s="164">
        <f>ROUND(I118*H118,2)</f>
        <v>0</v>
      </c>
      <c r="K118" s="149"/>
    </row>
    <row r="119" spans="1:11" ht="12.75">
      <c r="A119" s="1"/>
      <c r="B119" s="170"/>
      <c r="C119" s="123"/>
      <c r="D119" s="142"/>
      <c r="E119" s="143"/>
      <c r="F119" s="120"/>
      <c r="G119" s="145"/>
      <c r="H119" s="146"/>
      <c r="I119" s="147"/>
      <c r="J119" s="165"/>
      <c r="K119" s="149"/>
    </row>
    <row r="120" spans="1:11" ht="12.75">
      <c r="A120" s="12"/>
      <c r="B120" s="171"/>
      <c r="C120" s="123"/>
      <c r="D120" s="142"/>
      <c r="E120" s="143"/>
      <c r="F120" s="120" t="s">
        <v>194</v>
      </c>
      <c r="G120" s="145"/>
      <c r="H120" s="146"/>
      <c r="I120" s="147"/>
      <c r="J120" s="165"/>
      <c r="K120" s="12"/>
    </row>
    <row r="121" spans="1:11" ht="24">
      <c r="A121" s="12"/>
      <c r="B121" s="171"/>
      <c r="C121" s="123">
        <v>23</v>
      </c>
      <c r="D121" s="123" t="s">
        <v>103</v>
      </c>
      <c r="E121" s="124"/>
      <c r="F121" s="125" t="s">
        <v>195</v>
      </c>
      <c r="G121" s="126" t="s">
        <v>111</v>
      </c>
      <c r="H121" s="127">
        <v>1</v>
      </c>
      <c r="I121" s="128">
        <v>0</v>
      </c>
      <c r="J121" s="164">
        <f>ROUND(I121*H121,2)</f>
        <v>0</v>
      </c>
      <c r="K121" s="12"/>
    </row>
    <row r="122" spans="3:10" ht="12">
      <c r="C122" s="123">
        <v>24</v>
      </c>
      <c r="D122" s="123" t="s">
        <v>103</v>
      </c>
      <c r="E122" s="124"/>
      <c r="F122" s="125" t="s">
        <v>234</v>
      </c>
      <c r="G122" s="126" t="s">
        <v>111</v>
      </c>
      <c r="H122" s="127">
        <v>2</v>
      </c>
      <c r="I122" s="128">
        <v>0</v>
      </c>
      <c r="J122" s="164">
        <f>ROUND(I122*H122,2)</f>
        <v>0</v>
      </c>
    </row>
    <row r="123" spans="3:10" ht="12">
      <c r="C123" s="123">
        <v>25</v>
      </c>
      <c r="D123" s="123" t="s">
        <v>103</v>
      </c>
      <c r="E123" s="124"/>
      <c r="F123" s="125" t="s">
        <v>235</v>
      </c>
      <c r="G123" s="126" t="s">
        <v>111</v>
      </c>
      <c r="H123" s="127">
        <v>2</v>
      </c>
      <c r="I123" s="128">
        <v>0</v>
      </c>
      <c r="J123" s="164">
        <f>ROUND(I123*H123,2)</f>
        <v>0</v>
      </c>
    </row>
    <row r="124" spans="3:10" ht="12">
      <c r="C124" s="123">
        <v>26</v>
      </c>
      <c r="D124" s="123" t="s">
        <v>103</v>
      </c>
      <c r="E124" s="124"/>
      <c r="F124" s="125" t="s">
        <v>236</v>
      </c>
      <c r="G124" s="126" t="s">
        <v>111</v>
      </c>
      <c r="H124" s="127">
        <v>2</v>
      </c>
      <c r="I124" s="128">
        <v>0</v>
      </c>
      <c r="J124" s="164">
        <f>ROUND(I124*H124,2)</f>
        <v>0</v>
      </c>
    </row>
  </sheetData>
  <mergeCells count="8">
    <mergeCell ref="E72:H72"/>
    <mergeCell ref="E74:H74"/>
    <mergeCell ref="E39:H39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137"/>
  <sheetViews>
    <sheetView showGridLines="0" view="pageLayout" zoomScale="145" zoomScalePageLayoutView="145" workbookViewId="0" topLeftCell="A127">
      <selection activeCell="F129" sqref="F129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6.140625" style="0" customWidth="1"/>
    <col min="4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140625" style="0" customWidth="1"/>
    <col min="11" max="11" width="22.140625" style="0" hidden="1" customWidth="1"/>
    <col min="12" max="12" width="22.140625" style="0" customWidth="1"/>
    <col min="13" max="13" width="10.7109375" style="0" hidden="1" customWidth="1"/>
    <col min="14" max="19" width="14.140625" style="0" hidden="1" customWidth="1"/>
    <col min="20" max="20" width="16.140625" style="0" hidden="1" customWidth="1"/>
    <col min="21" max="21" width="12.140625" style="0" customWidth="1"/>
    <col min="22" max="22" width="16.140625" style="0" customWidth="1"/>
    <col min="23" max="23" width="12.140625" style="0" customWidth="1"/>
    <col min="24" max="24" width="15.00390625" style="0" customWidth="1"/>
    <col min="25" max="25" width="11.00390625" style="0" customWidth="1"/>
    <col min="26" max="26" width="15.00390625" style="0" customWidth="1"/>
    <col min="27" max="27" width="16.140625" style="0" customWidth="1"/>
    <col min="28" max="28" width="11.00390625" style="0" customWidth="1"/>
    <col min="29" max="29" width="15.00390625" style="0" customWidth="1"/>
    <col min="30" max="30" width="16.140625" style="0" customWidth="1"/>
  </cols>
  <sheetData>
    <row r="2" spans="2:11" ht="36.95" customHeight="1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ht="6.95" customHeight="1">
      <c r="B3" s="190"/>
      <c r="C3" s="16"/>
      <c r="D3" s="16"/>
      <c r="E3" s="16"/>
      <c r="F3" s="16"/>
      <c r="G3" s="16"/>
      <c r="H3" s="16"/>
      <c r="I3" s="16"/>
      <c r="J3" s="16"/>
      <c r="K3" s="191"/>
    </row>
    <row r="4" spans="2:11" ht="24.95" customHeight="1">
      <c r="B4" s="182"/>
      <c r="D4" s="18" t="s">
        <v>81</v>
      </c>
      <c r="K4" s="183"/>
    </row>
    <row r="5" spans="2:11" ht="6.95" customHeight="1">
      <c r="B5" s="182"/>
      <c r="K5" s="183"/>
    </row>
    <row r="6" spans="2:11" ht="12" customHeight="1">
      <c r="B6" s="182"/>
      <c r="D6" s="23" t="s">
        <v>13</v>
      </c>
      <c r="K6" s="183"/>
    </row>
    <row r="7" spans="2:11" ht="16.5" customHeight="1">
      <c r="B7" s="182"/>
      <c r="E7" s="254" t="str">
        <f>'Rekapitulace stavby'!K6</f>
        <v>Oprava gynekologicko-porodnické oddělení</v>
      </c>
      <c r="F7" s="254"/>
      <c r="G7" s="254"/>
      <c r="H7" s="254"/>
      <c r="K7" s="183"/>
    </row>
    <row r="8" spans="2:11" s="1" customFormat="1" ht="12" customHeight="1">
      <c r="B8" s="180"/>
      <c r="D8" s="23" t="s">
        <v>82</v>
      </c>
      <c r="K8" s="181"/>
    </row>
    <row r="9" spans="2:11" s="1" customFormat="1" ht="47.25" customHeight="1">
      <c r="B9" s="180"/>
      <c r="E9" s="245" t="s">
        <v>293</v>
      </c>
      <c r="F9" s="245"/>
      <c r="G9" s="245"/>
      <c r="H9" s="245"/>
      <c r="K9" s="181"/>
    </row>
    <row r="10" spans="2:11" s="1" customFormat="1" ht="12">
      <c r="B10" s="180"/>
      <c r="K10" s="181"/>
    </row>
    <row r="11" spans="2:11" s="1" customFormat="1" ht="12" customHeight="1">
      <c r="B11" s="180"/>
      <c r="D11" s="23" t="s">
        <v>14</v>
      </c>
      <c r="F11" s="21" t="s">
        <v>1</v>
      </c>
      <c r="I11" s="23" t="s">
        <v>15</v>
      </c>
      <c r="J11" s="21" t="s">
        <v>1</v>
      </c>
      <c r="K11" s="181"/>
    </row>
    <row r="12" spans="2:11" s="1" customFormat="1" ht="12" customHeight="1">
      <c r="B12" s="180"/>
      <c r="D12" s="23" t="s">
        <v>16</v>
      </c>
      <c r="F12" s="21" t="s">
        <v>17</v>
      </c>
      <c r="I12" s="23" t="s">
        <v>18</v>
      </c>
      <c r="J12" s="46">
        <f>'Rekapitulace stavby'!AN8</f>
        <v>45194</v>
      </c>
      <c r="K12" s="181"/>
    </row>
    <row r="13" spans="2:11" s="1" customFormat="1" ht="11.1" customHeight="1">
      <c r="B13" s="180"/>
      <c r="K13" s="181"/>
    </row>
    <row r="14" spans="2:11" s="1" customFormat="1" ht="12" customHeight="1">
      <c r="B14" s="180"/>
      <c r="D14" s="23" t="s">
        <v>19</v>
      </c>
      <c r="I14" s="23" t="s">
        <v>20</v>
      </c>
      <c r="J14" s="21" t="str">
        <f>IF('Rekapitulace stavby'!AN10="","",'Rekapitulace stavby'!AN10)</f>
        <v/>
      </c>
      <c r="K14" s="181"/>
    </row>
    <row r="15" spans="2:11" s="1" customFormat="1" ht="18" customHeight="1">
      <c r="B15" s="180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K15" s="181"/>
    </row>
    <row r="16" spans="2:11" s="1" customFormat="1" ht="6.95" customHeight="1">
      <c r="B16" s="180"/>
      <c r="K16" s="181"/>
    </row>
    <row r="17" spans="2:11" s="1" customFormat="1" ht="12" customHeight="1">
      <c r="B17" s="180"/>
      <c r="D17" s="23" t="s">
        <v>22</v>
      </c>
      <c r="I17" s="23" t="s">
        <v>20</v>
      </c>
      <c r="J17" s="21" t="str">
        <f>'Rekapitulace stavby'!AN13</f>
        <v/>
      </c>
      <c r="K17" s="181"/>
    </row>
    <row r="18" spans="2:11" s="1" customFormat="1" ht="18" customHeight="1">
      <c r="B18" s="180"/>
      <c r="E18" s="235" t="str">
        <f>'Rekapitulace stavby'!E14</f>
        <v xml:space="preserve"> </v>
      </c>
      <c r="F18" s="235"/>
      <c r="G18" s="235"/>
      <c r="H18" s="235"/>
      <c r="I18" s="23" t="s">
        <v>21</v>
      </c>
      <c r="J18" s="21" t="str">
        <f>'Rekapitulace stavby'!AN14</f>
        <v/>
      </c>
      <c r="K18" s="181"/>
    </row>
    <row r="19" spans="2:11" s="1" customFormat="1" ht="6.95" customHeight="1">
      <c r="B19" s="180"/>
      <c r="K19" s="181"/>
    </row>
    <row r="20" spans="2:11" s="1" customFormat="1" ht="12" customHeight="1">
      <c r="B20" s="180"/>
      <c r="D20" s="23" t="s">
        <v>23</v>
      </c>
      <c r="I20" s="23" t="s">
        <v>20</v>
      </c>
      <c r="J20" s="21" t="s">
        <v>1</v>
      </c>
      <c r="K20" s="181"/>
    </row>
    <row r="21" spans="2:11" s="1" customFormat="1" ht="18" customHeight="1">
      <c r="B21" s="180"/>
      <c r="E21" s="21" t="s">
        <v>132</v>
      </c>
      <c r="I21" s="23" t="s">
        <v>21</v>
      </c>
      <c r="J21" s="21" t="s">
        <v>1</v>
      </c>
      <c r="K21" s="181"/>
    </row>
    <row r="22" spans="2:11" s="1" customFormat="1" ht="6.95" customHeight="1">
      <c r="B22" s="180"/>
      <c r="K22" s="181"/>
    </row>
    <row r="23" spans="2:11" s="1" customFormat="1" ht="12" customHeight="1">
      <c r="B23" s="180"/>
      <c r="D23" s="23" t="s">
        <v>26</v>
      </c>
      <c r="I23" s="23" t="s">
        <v>20</v>
      </c>
      <c r="J23" s="21" t="str">
        <f>IF('Rekapitulace stavby'!AN19="","",'Rekapitulace stavby'!AN19)</f>
        <v/>
      </c>
      <c r="K23" s="181"/>
    </row>
    <row r="24" spans="2:11" s="1" customFormat="1" ht="18" customHeight="1">
      <c r="B24" s="180"/>
      <c r="E24" s="21" t="str">
        <f>IF('Rekapitulace stavby'!E20="","",'Rekapitulace stavby'!E20)</f>
        <v xml:space="preserve"> </v>
      </c>
      <c r="I24" s="23" t="s">
        <v>21</v>
      </c>
      <c r="J24" s="21" t="str">
        <f>IF('Rekapitulace stavby'!AN20="","",'Rekapitulace stavby'!AN20)</f>
        <v/>
      </c>
      <c r="K24" s="181"/>
    </row>
    <row r="25" spans="2:11" s="1" customFormat="1" ht="6.95" customHeight="1">
      <c r="B25" s="180"/>
      <c r="K25" s="181"/>
    </row>
    <row r="26" spans="2:11" s="1" customFormat="1" ht="12" customHeight="1">
      <c r="B26" s="180"/>
      <c r="D26" s="23" t="s">
        <v>27</v>
      </c>
      <c r="K26" s="181"/>
    </row>
    <row r="27" spans="2:11" s="7" customFormat="1" ht="71.25" customHeight="1">
      <c r="B27" s="192"/>
      <c r="E27" s="238"/>
      <c r="F27" s="238"/>
      <c r="G27" s="238"/>
      <c r="H27" s="238"/>
      <c r="K27" s="193"/>
    </row>
    <row r="28" spans="2:11" s="1" customFormat="1" ht="6.95" customHeight="1">
      <c r="B28" s="180"/>
      <c r="K28" s="181"/>
    </row>
    <row r="29" spans="2:11" s="1" customFormat="1" ht="6.95" customHeight="1">
      <c r="B29" s="180"/>
      <c r="D29" s="47"/>
      <c r="E29" s="47"/>
      <c r="F29" s="47"/>
      <c r="G29" s="47"/>
      <c r="H29" s="47"/>
      <c r="I29" s="47"/>
      <c r="J29" s="47"/>
      <c r="K29" s="194"/>
    </row>
    <row r="30" spans="2:11" s="1" customFormat="1" ht="25.35" customHeight="1">
      <c r="B30" s="180"/>
      <c r="D30" s="83" t="s">
        <v>29</v>
      </c>
      <c r="J30" s="59">
        <f>ROUND(J82,2)</f>
        <v>0</v>
      </c>
      <c r="K30" s="181"/>
    </row>
    <row r="31" spans="2:11" ht="12">
      <c r="B31" s="182"/>
      <c r="K31" s="183"/>
    </row>
    <row r="32" spans="2:11" ht="12">
      <c r="B32" s="182"/>
      <c r="K32" s="183"/>
    </row>
    <row r="33" spans="2:11" s="1" customFormat="1" ht="6.95" customHeight="1">
      <c r="B33" s="184"/>
      <c r="C33" s="41"/>
      <c r="D33" s="41"/>
      <c r="E33" s="41"/>
      <c r="F33" s="41"/>
      <c r="G33" s="41"/>
      <c r="H33" s="41"/>
      <c r="I33" s="41"/>
      <c r="J33" s="41"/>
      <c r="K33" s="185"/>
    </row>
    <row r="34" spans="2:11" s="1" customFormat="1" ht="24.95" customHeight="1">
      <c r="B34" s="180"/>
      <c r="C34" s="18" t="s">
        <v>83</v>
      </c>
      <c r="K34" s="181"/>
    </row>
    <row r="35" spans="2:11" s="1" customFormat="1" ht="6.95" customHeight="1">
      <c r="B35" s="180"/>
      <c r="K35" s="181"/>
    </row>
    <row r="36" spans="2:11" s="1" customFormat="1" ht="12" customHeight="1">
      <c r="B36" s="180"/>
      <c r="C36" s="23" t="s">
        <v>13</v>
      </c>
      <c r="K36" s="181"/>
    </row>
    <row r="37" spans="2:11" s="1" customFormat="1" ht="16.5" customHeight="1">
      <c r="B37" s="180"/>
      <c r="E37" s="254" t="str">
        <f>E7</f>
        <v>Oprava gynekologicko-porodnické oddělení</v>
      </c>
      <c r="F37" s="254"/>
      <c r="G37" s="254"/>
      <c r="H37" s="254"/>
      <c r="K37" s="181"/>
    </row>
    <row r="38" spans="2:11" s="1" customFormat="1" ht="12" customHeight="1">
      <c r="B38" s="180"/>
      <c r="C38" s="23" t="s">
        <v>82</v>
      </c>
      <c r="K38" s="181"/>
    </row>
    <row r="39" spans="2:11" s="1" customFormat="1" ht="16.5" customHeight="1">
      <c r="B39" s="180"/>
      <c r="E39" s="245" t="str">
        <f>E9</f>
        <v>Porodní box 1, porodní box 2, Porodní box 3,</v>
      </c>
      <c r="F39" s="245"/>
      <c r="G39" s="245"/>
      <c r="H39" s="245"/>
      <c r="K39" s="181"/>
    </row>
    <row r="40" spans="2:11" s="1" customFormat="1" ht="6.95" customHeight="1">
      <c r="B40" s="180"/>
      <c r="K40" s="181"/>
    </row>
    <row r="41" spans="2:11" s="1" customFormat="1" ht="12" customHeight="1">
      <c r="B41" s="180"/>
      <c r="C41" s="23" t="s">
        <v>16</v>
      </c>
      <c r="F41" s="21" t="str">
        <f>F12</f>
        <v xml:space="preserve"> </v>
      </c>
      <c r="I41" s="23" t="s">
        <v>18</v>
      </c>
      <c r="J41" s="46">
        <f>IF(J12="","",J12)</f>
        <v>45194</v>
      </c>
      <c r="K41" s="181"/>
    </row>
    <row r="42" spans="2:11" s="1" customFormat="1" ht="6.95" customHeight="1">
      <c r="B42" s="180"/>
      <c r="K42" s="181"/>
    </row>
    <row r="43" spans="2:11" s="1" customFormat="1" ht="15.2" customHeight="1">
      <c r="B43" s="180"/>
      <c r="C43" s="23" t="s">
        <v>19</v>
      </c>
      <c r="F43" s="21" t="str">
        <f>E15</f>
        <v xml:space="preserve"> </v>
      </c>
      <c r="I43" s="23" t="s">
        <v>23</v>
      </c>
      <c r="J43" s="24" t="str">
        <f>E21</f>
        <v>Ing. arch. Jan Ságl</v>
      </c>
      <c r="K43" s="181"/>
    </row>
    <row r="44" spans="2:11" s="1" customFormat="1" ht="15.2" customHeight="1">
      <c r="B44" s="180"/>
      <c r="C44" s="23" t="s">
        <v>22</v>
      </c>
      <c r="F44" s="21" t="str">
        <f>IF(E18="","",E18)</f>
        <v xml:space="preserve"> </v>
      </c>
      <c r="I44" s="23" t="s">
        <v>26</v>
      </c>
      <c r="J44" s="24" t="str">
        <f>E24</f>
        <v xml:space="preserve"> </v>
      </c>
      <c r="K44" s="181"/>
    </row>
    <row r="45" spans="2:11" s="1" customFormat="1" ht="10.35" customHeight="1">
      <c r="B45" s="180"/>
      <c r="K45" s="181"/>
    </row>
    <row r="46" spans="2:11" s="1" customFormat="1" ht="29.25" customHeight="1">
      <c r="B46" s="180"/>
      <c r="C46" s="95" t="s">
        <v>84</v>
      </c>
      <c r="D46" s="87"/>
      <c r="E46" s="87"/>
      <c r="F46" s="87"/>
      <c r="G46" s="87"/>
      <c r="H46" s="87"/>
      <c r="I46" s="87"/>
      <c r="J46" s="96" t="s">
        <v>85</v>
      </c>
      <c r="K46" s="195"/>
    </row>
    <row r="47" spans="2:11" s="1" customFormat="1" ht="10.35" customHeight="1">
      <c r="B47" s="180"/>
      <c r="K47" s="181"/>
    </row>
    <row r="48" spans="2:11" s="1" customFormat="1" ht="23.1" customHeight="1">
      <c r="B48" s="196"/>
      <c r="C48" s="197"/>
      <c r="D48" s="197"/>
      <c r="E48" s="197"/>
      <c r="F48" s="197"/>
      <c r="G48" s="197"/>
      <c r="H48" s="197"/>
      <c r="I48" s="197"/>
      <c r="J48" s="197"/>
      <c r="K48" s="198"/>
    </row>
    <row r="49" spans="1:11" s="8" customFormat="1" ht="24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9" customFormat="1" ht="20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9" customFormat="1" ht="20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9" customFormat="1" ht="20.1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1" s="9" customFormat="1" ht="20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9" customFormat="1" ht="20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9" customFormat="1" ht="20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9" customFormat="1" ht="20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9" customFormat="1" ht="20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8" customFormat="1" ht="24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9" customFormat="1" ht="20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9" customFormat="1" ht="20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9" customFormat="1" ht="20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9" customFormat="1" ht="20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9" customFormat="1" ht="20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9" customFormat="1" ht="20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9" customFormat="1" ht="20.1" customHeight="1">
      <c r="A65"/>
      <c r="B65"/>
      <c r="C65"/>
      <c r="D65"/>
      <c r="E65"/>
      <c r="F65"/>
      <c r="G65"/>
      <c r="H65"/>
      <c r="I65"/>
      <c r="J65"/>
      <c r="K65"/>
    </row>
    <row r="66" spans="1:11" s="9" customFormat="1" ht="20.1" customHeight="1">
      <c r="A66"/>
      <c r="B66"/>
      <c r="C66"/>
      <c r="D66"/>
      <c r="E66"/>
      <c r="F66"/>
      <c r="G66"/>
      <c r="H66"/>
      <c r="I66"/>
      <c r="J66"/>
      <c r="K66"/>
    </row>
    <row r="67" spans="1:11" s="9" customFormat="1" ht="20.1" customHeight="1" thickBo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20.1" customHeight="1">
      <c r="A68" s="1"/>
      <c r="B68" s="152"/>
      <c r="C68" s="153"/>
      <c r="D68" s="153"/>
      <c r="E68" s="153"/>
      <c r="F68" s="153"/>
      <c r="G68" s="153"/>
      <c r="H68" s="153"/>
      <c r="I68" s="153"/>
      <c r="J68" s="154"/>
      <c r="K68" s="41"/>
    </row>
    <row r="69" spans="1:11" s="9" customFormat="1" ht="20.1" customHeight="1">
      <c r="A69" s="1"/>
      <c r="B69" s="155"/>
      <c r="C69" s="18" t="s">
        <v>88</v>
      </c>
      <c r="D69" s="1"/>
      <c r="E69" s="1"/>
      <c r="F69" s="1"/>
      <c r="G69" s="1"/>
      <c r="H69" s="1"/>
      <c r="I69" s="1"/>
      <c r="J69" s="156"/>
      <c r="K69" s="1"/>
    </row>
    <row r="70" spans="1:11" s="9" customFormat="1" ht="20.1" customHeight="1">
      <c r="A70" s="1"/>
      <c r="B70" s="155"/>
      <c r="C70" s="1"/>
      <c r="D70" s="1"/>
      <c r="E70" s="1"/>
      <c r="F70" s="1"/>
      <c r="G70" s="1"/>
      <c r="H70" s="1"/>
      <c r="I70" s="1"/>
      <c r="J70" s="156"/>
      <c r="K70" s="1"/>
    </row>
    <row r="71" spans="1:11" s="9" customFormat="1" ht="20.1" customHeight="1">
      <c r="A71" s="1"/>
      <c r="B71" s="155"/>
      <c r="C71" s="23" t="s">
        <v>13</v>
      </c>
      <c r="D71" s="1"/>
      <c r="E71" s="1"/>
      <c r="F71" s="1"/>
      <c r="G71" s="1"/>
      <c r="H71" s="1"/>
      <c r="I71" s="1"/>
      <c r="J71" s="156"/>
      <c r="K71" s="1"/>
    </row>
    <row r="72" spans="1:11" s="9" customFormat="1" ht="20.1" customHeight="1">
      <c r="A72" s="1"/>
      <c r="B72" s="155"/>
      <c r="C72" s="1"/>
      <c r="D72" s="1"/>
      <c r="E72" s="254" t="str">
        <f>E7</f>
        <v>Oprava gynekologicko-porodnické oddělení</v>
      </c>
      <c r="F72" s="255"/>
      <c r="G72" s="255"/>
      <c r="H72" s="255"/>
      <c r="I72" s="1"/>
      <c r="J72" s="156"/>
      <c r="K72" s="1"/>
    </row>
    <row r="73" spans="1:11" s="9" customFormat="1" ht="20.1" customHeight="1">
      <c r="A73" s="1"/>
      <c r="B73" s="155"/>
      <c r="C73" s="23" t="s">
        <v>82</v>
      </c>
      <c r="D73" s="1"/>
      <c r="E73" s="1"/>
      <c r="F73" s="1"/>
      <c r="G73" s="1"/>
      <c r="H73" s="1"/>
      <c r="I73" s="1"/>
      <c r="J73" s="156"/>
      <c r="K73" s="1"/>
    </row>
    <row r="74" spans="2:10" s="1" customFormat="1" ht="21.75" customHeight="1">
      <c r="B74" s="155"/>
      <c r="E74" s="245" t="s">
        <v>247</v>
      </c>
      <c r="F74" s="256"/>
      <c r="G74" s="256"/>
      <c r="H74" s="256"/>
      <c r="J74" s="156"/>
    </row>
    <row r="75" spans="2:10" s="1" customFormat="1" ht="6.95" customHeight="1">
      <c r="B75" s="155"/>
      <c r="J75" s="156"/>
    </row>
    <row r="76" spans="2:10" s="1" customFormat="1" ht="15" customHeight="1">
      <c r="B76" s="155"/>
      <c r="C76" s="23" t="s">
        <v>16</v>
      </c>
      <c r="F76" s="21" t="str">
        <f>F12</f>
        <v xml:space="preserve"> </v>
      </c>
      <c r="I76" s="23" t="s">
        <v>18</v>
      </c>
      <c r="J76" s="157">
        <f>IF(J12="","",J12)</f>
        <v>45194</v>
      </c>
    </row>
    <row r="77" spans="2:10" s="1" customFormat="1" ht="15" customHeight="1">
      <c r="B77" s="155"/>
      <c r="J77" s="156"/>
    </row>
    <row r="78" spans="2:10" s="1" customFormat="1" ht="15" customHeight="1">
      <c r="B78" s="155"/>
      <c r="C78" s="23" t="s">
        <v>19</v>
      </c>
      <c r="F78" s="21" t="str">
        <f>E15</f>
        <v xml:space="preserve"> </v>
      </c>
      <c r="I78" s="23" t="s">
        <v>23</v>
      </c>
      <c r="J78" s="158" t="str">
        <f>E21</f>
        <v>Ing. arch. Jan Ságl</v>
      </c>
    </row>
    <row r="79" spans="1:11" s="141" customFormat="1" ht="15" customHeight="1">
      <c r="A79" s="1"/>
      <c r="B79" s="155"/>
      <c r="C79" s="23" t="s">
        <v>22</v>
      </c>
      <c r="D79" s="1"/>
      <c r="E79" s="1"/>
      <c r="F79" s="21" t="str">
        <f>IF(E18="","",E18)</f>
        <v xml:space="preserve"> </v>
      </c>
      <c r="G79" s="1"/>
      <c r="H79" s="1"/>
      <c r="I79" s="23" t="s">
        <v>26</v>
      </c>
      <c r="J79" s="158" t="str">
        <f>E24</f>
        <v xml:space="preserve"> </v>
      </c>
      <c r="K79" s="1"/>
    </row>
    <row r="80" spans="2:10" s="1" customFormat="1" ht="15" customHeight="1">
      <c r="B80" s="155"/>
      <c r="J80" s="156"/>
    </row>
    <row r="81" spans="1:11" s="1" customFormat="1" ht="15" customHeight="1">
      <c r="A81" s="10"/>
      <c r="B81" s="159"/>
      <c r="C81" s="103" t="s">
        <v>89</v>
      </c>
      <c r="D81" s="104" t="s">
        <v>54</v>
      </c>
      <c r="E81" s="104" t="s">
        <v>50</v>
      </c>
      <c r="F81" s="104" t="s">
        <v>51</v>
      </c>
      <c r="G81" s="104" t="s">
        <v>90</v>
      </c>
      <c r="H81" s="104" t="s">
        <v>91</v>
      </c>
      <c r="I81" s="104" t="s">
        <v>92</v>
      </c>
      <c r="J81" s="160" t="s">
        <v>85</v>
      </c>
      <c r="K81" s="106" t="s">
        <v>93</v>
      </c>
    </row>
    <row r="82" spans="2:10" s="1" customFormat="1" ht="15" customHeight="1">
      <c r="B82" s="155"/>
      <c r="C82" s="57" t="s">
        <v>100</v>
      </c>
      <c r="J82" s="161">
        <f>SUM(J85:J137)</f>
        <v>0</v>
      </c>
    </row>
    <row r="83" spans="1:11" s="1" customFormat="1" ht="15" customHeight="1">
      <c r="A83" s="11"/>
      <c r="B83" s="162"/>
      <c r="C83" s="11"/>
      <c r="D83" s="112"/>
      <c r="E83" s="113"/>
      <c r="F83" s="113"/>
      <c r="G83" s="11"/>
      <c r="H83" s="11"/>
      <c r="I83" s="11"/>
      <c r="J83" s="163"/>
      <c r="K83" s="11"/>
    </row>
    <row r="84" spans="1:11" s="1" customFormat="1" ht="15" customHeight="1">
      <c r="A84" s="11"/>
      <c r="B84" s="162"/>
      <c r="C84" s="11"/>
      <c r="D84" s="112"/>
      <c r="E84" s="113"/>
      <c r="F84" s="120" t="s">
        <v>134</v>
      </c>
      <c r="G84" s="11"/>
      <c r="H84" s="11"/>
      <c r="I84" s="11"/>
      <c r="J84" s="163"/>
      <c r="K84" s="11"/>
    </row>
    <row r="85" spans="1:12" s="1" customFormat="1" ht="15" customHeight="1">
      <c r="A85"/>
      <c r="B85" s="166"/>
      <c r="C85" s="123">
        <v>1</v>
      </c>
      <c r="D85" s="123" t="s">
        <v>103</v>
      </c>
      <c r="E85" s="124"/>
      <c r="F85" s="125" t="s">
        <v>143</v>
      </c>
      <c r="G85" s="126" t="s">
        <v>111</v>
      </c>
      <c r="H85" s="127">
        <v>1</v>
      </c>
      <c r="I85" s="128">
        <v>0</v>
      </c>
      <c r="J85" s="164">
        <f>ROUND(I85*H85,2)</f>
        <v>0</v>
      </c>
      <c r="K85"/>
      <c r="L85" s="128"/>
    </row>
    <row r="86" spans="1:11" s="1" customFormat="1" ht="15" customHeight="1">
      <c r="A86"/>
      <c r="B86" s="166"/>
      <c r="C86"/>
      <c r="D86"/>
      <c r="E86"/>
      <c r="F86" s="148" t="s">
        <v>145</v>
      </c>
      <c r="G86"/>
      <c r="H86"/>
      <c r="I86"/>
      <c r="J86" s="167"/>
      <c r="K86"/>
    </row>
    <row r="87" spans="1:11" s="1" customFormat="1" ht="15" customHeight="1">
      <c r="A87"/>
      <c r="B87" s="166"/>
      <c r="C87" s="123">
        <v>2</v>
      </c>
      <c r="D87" s="123" t="s">
        <v>103</v>
      </c>
      <c r="E87" s="124"/>
      <c r="F87" s="125" t="s">
        <v>149</v>
      </c>
      <c r="G87" s="126" t="s">
        <v>111</v>
      </c>
      <c r="H87" s="127">
        <v>8</v>
      </c>
      <c r="I87" s="128">
        <v>0</v>
      </c>
      <c r="J87" s="164">
        <f aca="true" t="shared" si="0" ref="J87:J92">ROUND(I87*H87,2)</f>
        <v>0</v>
      </c>
      <c r="K87"/>
    </row>
    <row r="88" spans="1:11" s="1" customFormat="1" ht="15" customHeight="1">
      <c r="A88"/>
      <c r="B88" s="166"/>
      <c r="C88" s="123">
        <v>3</v>
      </c>
      <c r="D88" s="123" t="s">
        <v>103</v>
      </c>
      <c r="E88" s="124"/>
      <c r="F88" s="125" t="s">
        <v>147</v>
      </c>
      <c r="G88" s="126" t="s">
        <v>106</v>
      </c>
      <c r="H88" s="127">
        <f>(30+33+32)*4</f>
        <v>380</v>
      </c>
      <c r="I88" s="128">
        <v>0</v>
      </c>
      <c r="J88" s="164">
        <f t="shared" si="0"/>
        <v>0</v>
      </c>
      <c r="K88"/>
    </row>
    <row r="89" spans="1:11" s="1" customFormat="1" ht="15" customHeight="1">
      <c r="A89"/>
      <c r="B89" s="166"/>
      <c r="C89" s="123">
        <v>4</v>
      </c>
      <c r="D89" s="123" t="s">
        <v>103</v>
      </c>
      <c r="E89" s="124"/>
      <c r="F89" s="125" t="s">
        <v>150</v>
      </c>
      <c r="G89" s="126" t="s">
        <v>108</v>
      </c>
      <c r="H89" s="127">
        <f>(5+5+3*2)</f>
        <v>16</v>
      </c>
      <c r="I89" s="128">
        <v>0</v>
      </c>
      <c r="J89" s="164">
        <f t="shared" si="0"/>
        <v>0</v>
      </c>
      <c r="K89"/>
    </row>
    <row r="90" spans="1:11" s="1" customFormat="1" ht="15" customHeight="1">
      <c r="A90"/>
      <c r="B90" s="166"/>
      <c r="C90" s="123">
        <v>5</v>
      </c>
      <c r="D90" s="123" t="s">
        <v>103</v>
      </c>
      <c r="E90" s="124"/>
      <c r="F90" s="125" t="s">
        <v>153</v>
      </c>
      <c r="G90" s="126" t="s">
        <v>111</v>
      </c>
      <c r="H90" s="127">
        <v>3</v>
      </c>
      <c r="I90" s="128">
        <v>0</v>
      </c>
      <c r="J90" s="164">
        <f t="shared" si="0"/>
        <v>0</v>
      </c>
      <c r="K90"/>
    </row>
    <row r="91" spans="1:11" s="1" customFormat="1" ht="30.75" customHeight="1">
      <c r="A91"/>
      <c r="B91" s="166"/>
      <c r="C91" s="123">
        <v>6</v>
      </c>
      <c r="D91" s="123" t="s">
        <v>103</v>
      </c>
      <c r="E91" s="124"/>
      <c r="F91" s="125" t="s">
        <v>160</v>
      </c>
      <c r="G91" s="126" t="s">
        <v>106</v>
      </c>
      <c r="H91" s="127">
        <f>36+27+31</f>
        <v>94</v>
      </c>
      <c r="I91" s="128">
        <v>0</v>
      </c>
      <c r="J91" s="186">
        <f t="shared" si="0"/>
        <v>0</v>
      </c>
      <c r="K91"/>
    </row>
    <row r="92" spans="1:11" s="1" customFormat="1" ht="15" customHeight="1">
      <c r="A92"/>
      <c r="B92" s="166"/>
      <c r="C92" s="123">
        <v>7</v>
      </c>
      <c r="D92" s="123" t="s">
        <v>103</v>
      </c>
      <c r="E92" s="124"/>
      <c r="F92" s="125" t="s">
        <v>241</v>
      </c>
      <c r="G92" s="126" t="s">
        <v>106</v>
      </c>
      <c r="H92" s="127">
        <f>(9+7+6+3)*4</f>
        <v>100</v>
      </c>
      <c r="I92" s="128">
        <v>0</v>
      </c>
      <c r="J92" s="186">
        <f t="shared" si="0"/>
        <v>0</v>
      </c>
      <c r="K92"/>
    </row>
    <row r="93" spans="2:10" ht="15" customHeight="1">
      <c r="B93" s="166"/>
      <c r="J93" s="167"/>
    </row>
    <row r="94" spans="1:11" ht="15" customHeight="1">
      <c r="A94" s="11"/>
      <c r="B94" s="162"/>
      <c r="C94" s="123"/>
      <c r="D94" s="142"/>
      <c r="E94" s="143"/>
      <c r="F94" s="120" t="s">
        <v>156</v>
      </c>
      <c r="G94" s="145"/>
      <c r="H94" s="146"/>
      <c r="I94" s="147"/>
      <c r="J94" s="165"/>
      <c r="K94" s="11"/>
    </row>
    <row r="95" spans="1:11" ht="12">
      <c r="A95" s="11"/>
      <c r="B95" s="162"/>
      <c r="C95" s="123">
        <v>8</v>
      </c>
      <c r="D95" s="123" t="s">
        <v>103</v>
      </c>
      <c r="E95" s="124"/>
      <c r="F95" s="125" t="s">
        <v>158</v>
      </c>
      <c r="G95" s="126" t="s">
        <v>106</v>
      </c>
      <c r="H95" s="127">
        <f>(6+4.5+6.5+3+1.5+3+2.5)*4</f>
        <v>108</v>
      </c>
      <c r="I95" s="128">
        <v>0</v>
      </c>
      <c r="J95" s="164">
        <f>ROUND(I95*H95,2)</f>
        <v>0</v>
      </c>
      <c r="K95" s="11"/>
    </row>
    <row r="96" spans="1:11" ht="12">
      <c r="A96" s="11"/>
      <c r="B96" s="162"/>
      <c r="C96" s="123">
        <v>9</v>
      </c>
      <c r="D96" s="123" t="s">
        <v>103</v>
      </c>
      <c r="E96" s="124"/>
      <c r="F96" s="125" t="s">
        <v>215</v>
      </c>
      <c r="G96" s="126" t="s">
        <v>170</v>
      </c>
      <c r="H96" s="127">
        <v>3</v>
      </c>
      <c r="I96" s="128">
        <v>0</v>
      </c>
      <c r="J96" s="164">
        <f>ROUND(I96*H96,2)</f>
        <v>0</v>
      </c>
      <c r="K96" s="11"/>
    </row>
    <row r="97" spans="1:11" ht="12">
      <c r="A97" s="11"/>
      <c r="B97" s="162"/>
      <c r="C97" s="123"/>
      <c r="D97" s="123"/>
      <c r="E97" s="124"/>
      <c r="F97" s="125"/>
      <c r="G97" s="126"/>
      <c r="H97" s="127"/>
      <c r="I97" s="128"/>
      <c r="J97" s="164"/>
      <c r="K97" s="11"/>
    </row>
    <row r="98" spans="1:11" ht="12.75">
      <c r="A98" s="11"/>
      <c r="B98" s="162"/>
      <c r="C98" s="123"/>
      <c r="D98" s="123"/>
      <c r="E98" s="124"/>
      <c r="F98" s="120" t="s">
        <v>159</v>
      </c>
      <c r="G98" s="126"/>
      <c r="H98" s="127"/>
      <c r="I98" s="128"/>
      <c r="J98" s="164"/>
      <c r="K98" s="11"/>
    </row>
    <row r="99" spans="1:11" ht="24">
      <c r="A99" s="11"/>
      <c r="B99" s="162"/>
      <c r="C99" s="123">
        <v>10</v>
      </c>
      <c r="D99" s="123" t="s">
        <v>103</v>
      </c>
      <c r="E99" s="124"/>
      <c r="F99" s="125" t="s">
        <v>202</v>
      </c>
      <c r="G99" s="126" t="s">
        <v>106</v>
      </c>
      <c r="H99" s="127">
        <f>H88</f>
        <v>380</v>
      </c>
      <c r="I99" s="128">
        <v>0</v>
      </c>
      <c r="J99" s="164">
        <f>ROUND(I99*H99,2)</f>
        <v>0</v>
      </c>
      <c r="K99" s="11"/>
    </row>
    <row r="100" spans="1:11" ht="12">
      <c r="A100" s="11"/>
      <c r="B100" s="162"/>
      <c r="C100" s="123">
        <v>11</v>
      </c>
      <c r="D100" s="123" t="s">
        <v>103</v>
      </c>
      <c r="E100" s="124"/>
      <c r="F100" s="125" t="s">
        <v>192</v>
      </c>
      <c r="G100" s="126" t="s">
        <v>106</v>
      </c>
      <c r="H100" s="127">
        <f>H99</f>
        <v>380</v>
      </c>
      <c r="I100" s="128">
        <v>0</v>
      </c>
      <c r="J100" s="164">
        <f>ROUND(I100*H100,2)</f>
        <v>0</v>
      </c>
      <c r="K100" s="11"/>
    </row>
    <row r="101" spans="1:11" ht="24">
      <c r="A101" s="11"/>
      <c r="B101" s="162"/>
      <c r="C101" s="123">
        <v>12</v>
      </c>
      <c r="D101" s="123" t="s">
        <v>103</v>
      </c>
      <c r="E101" s="124"/>
      <c r="F101" s="125" t="s">
        <v>162</v>
      </c>
      <c r="G101" s="126" t="s">
        <v>106</v>
      </c>
      <c r="H101" s="127">
        <f>H91</f>
        <v>94</v>
      </c>
      <c r="I101" s="128">
        <v>0</v>
      </c>
      <c r="J101" s="164">
        <f>ROUND(I101*H101,2)</f>
        <v>0</v>
      </c>
      <c r="K101" s="11"/>
    </row>
    <row r="102" spans="1:11" ht="12">
      <c r="A102" s="11"/>
      <c r="B102" s="162"/>
      <c r="C102" s="123"/>
      <c r="D102" s="142"/>
      <c r="E102" s="143"/>
      <c r="F102" s="148" t="s">
        <v>161</v>
      </c>
      <c r="G102" s="145"/>
      <c r="H102" s="146"/>
      <c r="I102" s="147"/>
      <c r="J102" s="165"/>
      <c r="K102" s="11"/>
    </row>
    <row r="103" spans="1:11" ht="24">
      <c r="A103" s="11"/>
      <c r="B103" s="162"/>
      <c r="C103" s="123">
        <v>13</v>
      </c>
      <c r="D103" s="123" t="s">
        <v>103</v>
      </c>
      <c r="E103" s="124"/>
      <c r="F103" s="125" t="s">
        <v>248</v>
      </c>
      <c r="G103" s="126" t="s">
        <v>106</v>
      </c>
      <c r="H103" s="127">
        <f>H101*1.1</f>
        <v>103.4</v>
      </c>
      <c r="I103" s="128">
        <v>0</v>
      </c>
      <c r="J103" s="164">
        <f>ROUND(I103*H103,2)</f>
        <v>0</v>
      </c>
      <c r="K103" s="11"/>
    </row>
    <row r="104" spans="1:11" ht="12">
      <c r="A104" s="11"/>
      <c r="B104" s="162"/>
      <c r="C104" s="123"/>
      <c r="D104" s="142"/>
      <c r="E104" s="143"/>
      <c r="F104" s="148" t="s">
        <v>225</v>
      </c>
      <c r="G104" s="126"/>
      <c r="H104" s="127"/>
      <c r="I104" s="128"/>
      <c r="J104" s="164"/>
      <c r="K104" s="11"/>
    </row>
    <row r="105" spans="2:11" ht="12">
      <c r="B105" s="162"/>
      <c r="C105" s="123">
        <v>14</v>
      </c>
      <c r="D105" s="142"/>
      <c r="E105" s="143"/>
      <c r="F105" s="125" t="s">
        <v>166</v>
      </c>
      <c r="G105" s="126" t="s">
        <v>108</v>
      </c>
      <c r="H105" s="127">
        <f>32+30+33</f>
        <v>95</v>
      </c>
      <c r="I105" s="128">
        <v>0</v>
      </c>
      <c r="J105" s="164">
        <f aca="true" t="shared" si="1" ref="J105:J112">ROUND(I105*H105,2)</f>
        <v>0</v>
      </c>
      <c r="K105" s="11"/>
    </row>
    <row r="106" spans="1:11" ht="12">
      <c r="A106" s="11"/>
      <c r="B106" s="162"/>
      <c r="C106" s="123">
        <v>15</v>
      </c>
      <c r="D106" s="123" t="s">
        <v>103</v>
      </c>
      <c r="E106" s="124"/>
      <c r="F106" s="125" t="s">
        <v>167</v>
      </c>
      <c r="G106" s="126" t="s">
        <v>106</v>
      </c>
      <c r="H106" s="127">
        <f>H101</f>
        <v>94</v>
      </c>
      <c r="I106" s="128">
        <v>0</v>
      </c>
      <c r="J106" s="164">
        <f t="shared" si="1"/>
        <v>0</v>
      </c>
      <c r="K106" s="11"/>
    </row>
    <row r="107" spans="1:11" ht="24">
      <c r="A107" s="11"/>
      <c r="B107" s="162"/>
      <c r="C107" s="123">
        <v>16</v>
      </c>
      <c r="D107" s="123" t="s">
        <v>103</v>
      </c>
      <c r="E107" s="124"/>
      <c r="F107" s="125" t="s">
        <v>221</v>
      </c>
      <c r="G107" s="126" t="s">
        <v>106</v>
      </c>
      <c r="H107" s="127">
        <f>H99</f>
        <v>380</v>
      </c>
      <c r="I107" s="128">
        <v>0</v>
      </c>
      <c r="J107" s="164">
        <f t="shared" si="1"/>
        <v>0</v>
      </c>
      <c r="K107" s="11"/>
    </row>
    <row r="108" spans="1:11" ht="12">
      <c r="A108" s="11"/>
      <c r="B108" s="162"/>
      <c r="C108" s="123">
        <v>17</v>
      </c>
      <c r="D108" s="123" t="s">
        <v>103</v>
      </c>
      <c r="E108" s="124"/>
      <c r="F108" s="125" t="s">
        <v>200</v>
      </c>
      <c r="G108" s="126" t="s">
        <v>108</v>
      </c>
      <c r="H108" s="127">
        <f>H89</f>
        <v>16</v>
      </c>
      <c r="I108" s="128">
        <v>0</v>
      </c>
      <c r="J108" s="164">
        <f t="shared" si="1"/>
        <v>0</v>
      </c>
      <c r="K108" s="11"/>
    </row>
    <row r="109" spans="1:11" ht="12">
      <c r="A109" s="11"/>
      <c r="B109" s="162"/>
      <c r="C109" s="123">
        <v>18</v>
      </c>
      <c r="D109" s="123" t="s">
        <v>103</v>
      </c>
      <c r="E109" s="124"/>
      <c r="F109" s="125" t="s">
        <v>228</v>
      </c>
      <c r="G109" s="126" t="s">
        <v>106</v>
      </c>
      <c r="H109" s="127">
        <f>4+4+3</f>
        <v>11</v>
      </c>
      <c r="I109" s="128">
        <v>0</v>
      </c>
      <c r="J109" s="164">
        <f t="shared" si="1"/>
        <v>0</v>
      </c>
      <c r="K109" s="11"/>
    </row>
    <row r="110" spans="1:11" ht="24">
      <c r="A110" s="11"/>
      <c r="B110" s="162"/>
      <c r="C110" s="123">
        <v>19</v>
      </c>
      <c r="D110" s="123" t="s">
        <v>103</v>
      </c>
      <c r="E110" s="124"/>
      <c r="F110" s="125" t="s">
        <v>232</v>
      </c>
      <c r="G110" s="126" t="s">
        <v>106</v>
      </c>
      <c r="H110" s="127">
        <f>5+4+5</f>
        <v>14</v>
      </c>
      <c r="I110" s="128">
        <v>0</v>
      </c>
      <c r="J110" s="164">
        <f t="shared" si="1"/>
        <v>0</v>
      </c>
      <c r="K110" s="11"/>
    </row>
    <row r="111" spans="1:11" ht="24">
      <c r="A111" s="11"/>
      <c r="B111" s="162"/>
      <c r="C111" s="123">
        <v>20</v>
      </c>
      <c r="D111" s="123" t="s">
        <v>103</v>
      </c>
      <c r="E111" s="124"/>
      <c r="F111" s="125" t="s">
        <v>243</v>
      </c>
      <c r="G111" s="126" t="s">
        <v>106</v>
      </c>
      <c r="H111" s="127">
        <f>(9.5+7.5+8.5)*2</f>
        <v>51</v>
      </c>
      <c r="I111" s="128">
        <v>0</v>
      </c>
      <c r="J111" s="164">
        <f t="shared" si="1"/>
        <v>0</v>
      </c>
      <c r="K111" s="11"/>
    </row>
    <row r="112" spans="1:11" ht="36">
      <c r="A112" s="11"/>
      <c r="B112" s="162"/>
      <c r="C112" s="123">
        <v>21</v>
      </c>
      <c r="D112" s="123" t="s">
        <v>103</v>
      </c>
      <c r="E112" s="124"/>
      <c r="F112" s="125" t="s">
        <v>246</v>
      </c>
      <c r="G112" s="126" t="s">
        <v>106</v>
      </c>
      <c r="H112" s="127">
        <f>H110*2</f>
        <v>28</v>
      </c>
      <c r="I112" s="128">
        <v>0</v>
      </c>
      <c r="J112" s="164">
        <f t="shared" si="1"/>
        <v>0</v>
      </c>
      <c r="K112" s="11"/>
    </row>
    <row r="113" spans="1:11" ht="12">
      <c r="A113" s="11"/>
      <c r="B113" s="162"/>
      <c r="C113" s="123"/>
      <c r="D113" s="142"/>
      <c r="E113" s="143"/>
      <c r="F113" s="144"/>
      <c r="G113" s="145"/>
      <c r="H113" s="146"/>
      <c r="I113" s="147"/>
      <c r="J113" s="165"/>
      <c r="K113" s="11"/>
    </row>
    <row r="114" spans="1:11" ht="12">
      <c r="A114" s="11"/>
      <c r="B114" s="162"/>
      <c r="C114" s="123"/>
      <c r="D114" s="142"/>
      <c r="E114" s="143"/>
      <c r="F114" s="144"/>
      <c r="G114" s="145"/>
      <c r="H114" s="146"/>
      <c r="I114" s="147"/>
      <c r="J114" s="165"/>
      <c r="K114" s="11"/>
    </row>
    <row r="115" spans="1:11" ht="12.75">
      <c r="A115" s="11"/>
      <c r="B115" s="162"/>
      <c r="C115" s="123"/>
      <c r="D115" s="112" t="s">
        <v>68</v>
      </c>
      <c r="E115" s="120" t="s">
        <v>102</v>
      </c>
      <c r="F115" s="120" t="s">
        <v>110</v>
      </c>
      <c r="G115" s="11"/>
      <c r="H115" s="11"/>
      <c r="I115" s="11"/>
      <c r="J115" s="169">
        <f>SUM(J116:J126)</f>
        <v>0</v>
      </c>
      <c r="K115" s="11"/>
    </row>
    <row r="116" spans="1:11" ht="12">
      <c r="A116" s="1"/>
      <c r="B116" s="170"/>
      <c r="C116" s="123">
        <v>22</v>
      </c>
      <c r="D116" s="123" t="s">
        <v>103</v>
      </c>
      <c r="E116" s="124"/>
      <c r="F116" s="125" t="s">
        <v>206</v>
      </c>
      <c r="G116" s="126" t="s">
        <v>104</v>
      </c>
      <c r="H116" s="127">
        <f>3*(4+1)</f>
        <v>15</v>
      </c>
      <c r="I116" s="128">
        <v>0</v>
      </c>
      <c r="J116" s="164">
        <f>ROUND(I116*H116,2)</f>
        <v>0</v>
      </c>
      <c r="K116" s="151"/>
    </row>
    <row r="117" spans="1:11" ht="24">
      <c r="A117" s="1"/>
      <c r="B117" s="170"/>
      <c r="C117" s="123">
        <v>23</v>
      </c>
      <c r="D117" s="123" t="s">
        <v>103</v>
      </c>
      <c r="E117" s="124"/>
      <c r="F117" s="125" t="s">
        <v>305</v>
      </c>
      <c r="G117" s="126" t="s">
        <v>104</v>
      </c>
      <c r="H117" s="127">
        <v>2</v>
      </c>
      <c r="I117" s="128">
        <v>0</v>
      </c>
      <c r="J117" s="164">
        <f>I117*H117</f>
        <v>0</v>
      </c>
      <c r="K117" s="151"/>
    </row>
    <row r="118" spans="1:11" ht="12">
      <c r="A118" s="1"/>
      <c r="B118" s="170"/>
      <c r="C118" s="123"/>
      <c r="D118" s="123" t="s">
        <v>103</v>
      </c>
      <c r="E118" s="124"/>
      <c r="F118" s="125" t="s">
        <v>224</v>
      </c>
      <c r="G118" s="126"/>
      <c r="H118" s="127">
        <v>1</v>
      </c>
      <c r="I118" s="128">
        <v>0</v>
      </c>
      <c r="J118" s="164">
        <f>ROUND(I118*H118,2)</f>
        <v>0</v>
      </c>
      <c r="K118" s="151"/>
    </row>
    <row r="119" spans="1:11" ht="24">
      <c r="A119" s="1"/>
      <c r="B119" s="170"/>
      <c r="C119" s="123">
        <v>24</v>
      </c>
      <c r="D119" s="123"/>
      <c r="E119" s="124"/>
      <c r="F119" s="150" t="s">
        <v>250</v>
      </c>
      <c r="G119" s="126" t="s">
        <v>111</v>
      </c>
      <c r="H119" s="127">
        <v>3</v>
      </c>
      <c r="I119" s="128">
        <v>0</v>
      </c>
      <c r="J119" s="164">
        <f aca="true" t="shared" si="2" ref="J119:J124">ROUND(I119*H119,2)</f>
        <v>0</v>
      </c>
      <c r="K119" s="149"/>
    </row>
    <row r="120" spans="1:11" ht="24">
      <c r="A120" s="1"/>
      <c r="B120" s="170"/>
      <c r="C120" s="123">
        <v>25</v>
      </c>
      <c r="D120" s="123"/>
      <c r="E120" s="124"/>
      <c r="F120" s="150" t="s">
        <v>208</v>
      </c>
      <c r="G120" s="126" t="s">
        <v>111</v>
      </c>
      <c r="H120" s="127">
        <v>3</v>
      </c>
      <c r="I120" s="128">
        <v>0</v>
      </c>
      <c r="J120" s="164">
        <f t="shared" si="2"/>
        <v>0</v>
      </c>
      <c r="K120" s="149"/>
    </row>
    <row r="121" spans="1:11" ht="12">
      <c r="A121" s="1"/>
      <c r="B121" s="170"/>
      <c r="C121" s="123">
        <v>26</v>
      </c>
      <c r="D121" s="123"/>
      <c r="E121" s="124"/>
      <c r="F121" s="150" t="s">
        <v>249</v>
      </c>
      <c r="G121" s="126" t="s">
        <v>111</v>
      </c>
      <c r="H121" s="127">
        <v>3</v>
      </c>
      <c r="I121" s="128">
        <v>0</v>
      </c>
      <c r="J121" s="164">
        <f t="shared" si="2"/>
        <v>0</v>
      </c>
      <c r="K121" s="149"/>
    </row>
    <row r="122" spans="1:11" ht="12">
      <c r="A122" s="1"/>
      <c r="B122" s="170"/>
      <c r="C122" s="123">
        <v>27</v>
      </c>
      <c r="D122" s="123"/>
      <c r="E122" s="124"/>
      <c r="F122" s="150" t="s">
        <v>257</v>
      </c>
      <c r="G122" s="126" t="s">
        <v>111</v>
      </c>
      <c r="H122" s="127">
        <v>3</v>
      </c>
      <c r="I122" s="128">
        <v>0</v>
      </c>
      <c r="J122" s="164">
        <f t="shared" si="2"/>
        <v>0</v>
      </c>
      <c r="K122" s="149"/>
    </row>
    <row r="123" spans="1:11" ht="12">
      <c r="A123" s="1"/>
      <c r="B123" s="170"/>
      <c r="C123" s="123">
        <v>28</v>
      </c>
      <c r="D123" s="123"/>
      <c r="E123" s="124"/>
      <c r="F123" s="150" t="s">
        <v>220</v>
      </c>
      <c r="G123" s="126" t="s">
        <v>111</v>
      </c>
      <c r="H123" s="127">
        <v>3</v>
      </c>
      <c r="I123" s="128">
        <v>0</v>
      </c>
      <c r="J123" s="164">
        <f t="shared" si="2"/>
        <v>0</v>
      </c>
      <c r="K123" s="149"/>
    </row>
    <row r="124" spans="1:11" ht="12">
      <c r="A124" s="1"/>
      <c r="B124" s="170"/>
      <c r="C124" s="123">
        <v>29</v>
      </c>
      <c r="D124" s="123"/>
      <c r="E124" s="124"/>
      <c r="F124" s="150" t="s">
        <v>245</v>
      </c>
      <c r="G124" s="126" t="s">
        <v>111</v>
      </c>
      <c r="H124" s="127">
        <v>3</v>
      </c>
      <c r="I124" s="128">
        <v>0</v>
      </c>
      <c r="J124" s="164">
        <f t="shared" si="2"/>
        <v>0</v>
      </c>
      <c r="K124" s="149"/>
    </row>
    <row r="125" spans="1:11" ht="24">
      <c r="A125" s="1"/>
      <c r="B125" s="170"/>
      <c r="C125" s="123"/>
      <c r="D125" s="123"/>
      <c r="E125" s="124"/>
      <c r="F125" s="148" t="s">
        <v>185</v>
      </c>
      <c r="G125" s="126"/>
      <c r="H125" s="127"/>
      <c r="I125" s="128"/>
      <c r="J125" s="164"/>
      <c r="K125" s="149"/>
    </row>
    <row r="126" spans="1:11" ht="24">
      <c r="A126" s="1"/>
      <c r="B126" s="170"/>
      <c r="C126" s="123"/>
      <c r="D126" s="123" t="s">
        <v>103</v>
      </c>
      <c r="E126" s="124"/>
      <c r="F126" s="125" t="s">
        <v>270</v>
      </c>
      <c r="G126" s="126"/>
      <c r="H126" s="127"/>
      <c r="I126" s="128"/>
      <c r="J126" s="164"/>
      <c r="K126" s="149"/>
    </row>
    <row r="127" spans="1:11" ht="12.75">
      <c r="A127" s="1"/>
      <c r="B127" s="170"/>
      <c r="C127" s="123"/>
      <c r="D127" s="142"/>
      <c r="E127" s="143"/>
      <c r="F127" s="120" t="s">
        <v>175</v>
      </c>
      <c r="G127" s="145"/>
      <c r="H127" s="146"/>
      <c r="I127" s="147"/>
      <c r="J127" s="165"/>
      <c r="K127" s="149"/>
    </row>
    <row r="128" spans="1:11" ht="24">
      <c r="A128" s="1"/>
      <c r="B128" s="170"/>
      <c r="C128" s="123">
        <v>30</v>
      </c>
      <c r="D128" s="123" t="s">
        <v>103</v>
      </c>
      <c r="E128" s="124"/>
      <c r="F128" s="125" t="s">
        <v>251</v>
      </c>
      <c r="G128" s="126" t="s">
        <v>170</v>
      </c>
      <c r="H128" s="127">
        <v>2</v>
      </c>
      <c r="I128" s="128">
        <v>0</v>
      </c>
      <c r="J128" s="164">
        <f>ROUND(I128*H128,2)</f>
        <v>0</v>
      </c>
      <c r="K128" s="149"/>
    </row>
    <row r="129" spans="1:11" ht="12">
      <c r="A129" s="1"/>
      <c r="B129" s="170"/>
      <c r="C129" s="123">
        <v>31</v>
      </c>
      <c r="D129" s="123" t="s">
        <v>103</v>
      </c>
      <c r="E129" s="124"/>
      <c r="F129" s="125" t="s">
        <v>252</v>
      </c>
      <c r="G129" s="126" t="s">
        <v>170</v>
      </c>
      <c r="H129" s="127">
        <v>2</v>
      </c>
      <c r="I129" s="128">
        <v>0</v>
      </c>
      <c r="J129" s="164">
        <f>ROUND(I129*H129,2)</f>
        <v>0</v>
      </c>
      <c r="K129" s="149"/>
    </row>
    <row r="130" spans="1:11" ht="12">
      <c r="A130" s="1"/>
      <c r="B130" s="170"/>
      <c r="C130" s="123">
        <v>31</v>
      </c>
      <c r="D130" s="123" t="s">
        <v>103</v>
      </c>
      <c r="E130" s="124"/>
      <c r="F130" s="125" t="s">
        <v>253</v>
      </c>
      <c r="G130" s="126" t="s">
        <v>170</v>
      </c>
      <c r="H130" s="127">
        <v>1</v>
      </c>
      <c r="I130" s="128">
        <v>0</v>
      </c>
      <c r="J130" s="164">
        <f>ROUND(I130*H130,2)</f>
        <v>0</v>
      </c>
      <c r="K130" s="149"/>
    </row>
    <row r="131" spans="1:11" ht="12.75">
      <c r="A131" s="12"/>
      <c r="B131" s="171"/>
      <c r="C131" s="123"/>
      <c r="D131" s="142"/>
      <c r="E131" s="143"/>
      <c r="F131" s="120" t="s">
        <v>194</v>
      </c>
      <c r="G131" s="145"/>
      <c r="H131" s="146"/>
      <c r="I131" s="147"/>
      <c r="J131" s="165"/>
      <c r="K131" s="12"/>
    </row>
    <row r="132" spans="1:11" ht="24">
      <c r="A132" s="12"/>
      <c r="B132" s="171"/>
      <c r="C132" s="123">
        <v>32</v>
      </c>
      <c r="D132" s="123" t="s">
        <v>103</v>
      </c>
      <c r="E132" s="124"/>
      <c r="F132" s="125" t="s">
        <v>195</v>
      </c>
      <c r="G132" s="126" t="s">
        <v>111</v>
      </c>
      <c r="H132" s="127">
        <f>H87</f>
        <v>8</v>
      </c>
      <c r="I132" s="128">
        <v>0</v>
      </c>
      <c r="J132" s="164">
        <f aca="true" t="shared" si="3" ref="J132:J137">ROUND(I132*H132,2)</f>
        <v>0</v>
      </c>
      <c r="K132" s="12"/>
    </row>
    <row r="133" spans="1:11" ht="24">
      <c r="A133" s="12"/>
      <c r="B133" s="171"/>
      <c r="C133" s="123">
        <v>33</v>
      </c>
      <c r="D133" s="123" t="s">
        <v>103</v>
      </c>
      <c r="E133" s="124"/>
      <c r="F133" s="125" t="s">
        <v>256</v>
      </c>
      <c r="G133" s="126" t="s">
        <v>111</v>
      </c>
      <c r="H133" s="127">
        <v>3</v>
      </c>
      <c r="I133" s="128">
        <v>0</v>
      </c>
      <c r="J133" s="164">
        <f t="shared" si="3"/>
        <v>0</v>
      </c>
      <c r="K133" s="12"/>
    </row>
    <row r="134" spans="3:10" ht="12">
      <c r="C134" s="123">
        <v>34</v>
      </c>
      <c r="D134" s="123" t="s">
        <v>103</v>
      </c>
      <c r="E134" s="124"/>
      <c r="F134" s="125" t="s">
        <v>235</v>
      </c>
      <c r="G134" s="126" t="s">
        <v>111</v>
      </c>
      <c r="H134" s="127">
        <v>3</v>
      </c>
      <c r="I134" s="128">
        <v>0</v>
      </c>
      <c r="J134" s="164">
        <f t="shared" si="3"/>
        <v>0</v>
      </c>
    </row>
    <row r="135" spans="3:10" ht="12">
      <c r="C135" s="123">
        <v>35</v>
      </c>
      <c r="D135" s="123" t="s">
        <v>103</v>
      </c>
      <c r="E135" s="124"/>
      <c r="F135" s="125" t="s">
        <v>236</v>
      </c>
      <c r="G135" s="126" t="s">
        <v>111</v>
      </c>
      <c r="H135" s="127">
        <v>3</v>
      </c>
      <c r="I135" s="128">
        <v>0</v>
      </c>
      <c r="J135" s="164">
        <f t="shared" si="3"/>
        <v>0</v>
      </c>
    </row>
    <row r="136" spans="3:10" ht="12">
      <c r="C136" s="123">
        <v>36</v>
      </c>
      <c r="D136" s="123" t="s">
        <v>103</v>
      </c>
      <c r="E136" s="124"/>
      <c r="F136" s="125" t="s">
        <v>254</v>
      </c>
      <c r="G136" s="126" t="s">
        <v>111</v>
      </c>
      <c r="H136" s="127">
        <v>3</v>
      </c>
      <c r="I136" s="128">
        <v>0</v>
      </c>
      <c r="J136" s="164">
        <f t="shared" si="3"/>
        <v>0</v>
      </c>
    </row>
    <row r="137" spans="3:10" ht="12">
      <c r="C137" s="123">
        <v>37</v>
      </c>
      <c r="D137" s="123" t="s">
        <v>103</v>
      </c>
      <c r="E137" s="124"/>
      <c r="F137" s="125" t="s">
        <v>255</v>
      </c>
      <c r="G137" s="126" t="s">
        <v>111</v>
      </c>
      <c r="H137" s="127">
        <v>2</v>
      </c>
      <c r="I137" s="128">
        <v>0</v>
      </c>
      <c r="J137" s="164">
        <f t="shared" si="3"/>
        <v>0</v>
      </c>
    </row>
  </sheetData>
  <mergeCells count="8">
    <mergeCell ref="E72:H72"/>
    <mergeCell ref="E74:H74"/>
    <mergeCell ref="E39:H39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L133"/>
  <sheetViews>
    <sheetView showGridLines="0" zoomScale="130" zoomScaleNormal="130" workbookViewId="0" topLeftCell="A117">
      <selection activeCell="F125" sqref="F125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6.140625" style="0" customWidth="1"/>
    <col min="4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140625" style="0" customWidth="1"/>
    <col min="11" max="11" width="22.140625" style="0" hidden="1" customWidth="1"/>
    <col min="12" max="12" width="22.140625" style="0" customWidth="1"/>
    <col min="13" max="13" width="10.7109375" style="0" hidden="1" customWidth="1"/>
    <col min="14" max="19" width="14.140625" style="0" hidden="1" customWidth="1"/>
    <col min="20" max="20" width="16.140625" style="0" hidden="1" customWidth="1"/>
    <col min="21" max="21" width="12.140625" style="0" customWidth="1"/>
    <col min="22" max="22" width="16.140625" style="0" customWidth="1"/>
    <col min="23" max="23" width="12.140625" style="0" customWidth="1"/>
    <col min="24" max="24" width="15.00390625" style="0" customWidth="1"/>
    <col min="25" max="25" width="11.00390625" style="0" customWidth="1"/>
    <col min="26" max="26" width="15.00390625" style="0" customWidth="1"/>
    <col min="27" max="27" width="16.140625" style="0" customWidth="1"/>
    <col min="28" max="28" width="11.00390625" style="0" customWidth="1"/>
    <col min="29" max="29" width="15.00390625" style="0" customWidth="1"/>
    <col min="30" max="30" width="16.140625" style="0" customWidth="1"/>
  </cols>
  <sheetData>
    <row r="2" spans="2:11" ht="36.95" customHeight="1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ht="6.95" customHeight="1">
      <c r="B3" s="190"/>
      <c r="C3" s="16"/>
      <c r="D3" s="16"/>
      <c r="E3" s="16"/>
      <c r="F3" s="16"/>
      <c r="G3" s="16"/>
      <c r="H3" s="16"/>
      <c r="I3" s="16"/>
      <c r="J3" s="16"/>
      <c r="K3" s="191"/>
    </row>
    <row r="4" spans="2:11" ht="24.95" customHeight="1">
      <c r="B4" s="182"/>
      <c r="D4" s="18" t="s">
        <v>81</v>
      </c>
      <c r="K4" s="183"/>
    </row>
    <row r="5" spans="2:11" ht="6.95" customHeight="1">
      <c r="B5" s="182"/>
      <c r="K5" s="183"/>
    </row>
    <row r="6" spans="2:11" ht="12" customHeight="1">
      <c r="B6" s="182"/>
      <c r="D6" s="23" t="s">
        <v>13</v>
      </c>
      <c r="K6" s="183"/>
    </row>
    <row r="7" spans="2:11" ht="16.5" customHeight="1">
      <c r="B7" s="182"/>
      <c r="E7" s="254" t="str">
        <f>'Rekapitulace stavby'!K6</f>
        <v>Oprava gynekologicko-porodnické oddělení</v>
      </c>
      <c r="F7" s="254"/>
      <c r="G7" s="254"/>
      <c r="H7" s="254"/>
      <c r="K7" s="183"/>
    </row>
    <row r="8" spans="2:11" s="1" customFormat="1" ht="12" customHeight="1">
      <c r="B8" s="180"/>
      <c r="D8" s="23" t="s">
        <v>82</v>
      </c>
      <c r="K8" s="181"/>
    </row>
    <row r="9" spans="2:11" s="1" customFormat="1" ht="47.25" customHeight="1">
      <c r="B9" s="180"/>
      <c r="E9" s="245" t="s">
        <v>258</v>
      </c>
      <c r="F9" s="245"/>
      <c r="G9" s="245"/>
      <c r="H9" s="245"/>
      <c r="K9" s="181"/>
    </row>
    <row r="10" spans="2:11" s="1" customFormat="1" ht="12">
      <c r="B10" s="180"/>
      <c r="K10" s="181"/>
    </row>
    <row r="11" spans="2:11" s="1" customFormat="1" ht="12" customHeight="1">
      <c r="B11" s="180"/>
      <c r="D11" s="23" t="s">
        <v>14</v>
      </c>
      <c r="F11" s="21" t="s">
        <v>1</v>
      </c>
      <c r="I11" s="23" t="s">
        <v>15</v>
      </c>
      <c r="J11" s="21" t="s">
        <v>1</v>
      </c>
      <c r="K11" s="181"/>
    </row>
    <row r="12" spans="2:11" s="1" customFormat="1" ht="12" customHeight="1">
      <c r="B12" s="180"/>
      <c r="D12" s="23" t="s">
        <v>16</v>
      </c>
      <c r="F12" s="21" t="s">
        <v>17</v>
      </c>
      <c r="I12" s="23" t="s">
        <v>18</v>
      </c>
      <c r="J12" s="46">
        <f>'Rekapitulace stavby'!AN8</f>
        <v>45194</v>
      </c>
      <c r="K12" s="181"/>
    </row>
    <row r="13" spans="2:11" s="1" customFormat="1" ht="11.1" customHeight="1">
      <c r="B13" s="180"/>
      <c r="K13" s="181"/>
    </row>
    <row r="14" spans="2:11" s="1" customFormat="1" ht="12" customHeight="1">
      <c r="B14" s="180"/>
      <c r="D14" s="23" t="s">
        <v>19</v>
      </c>
      <c r="I14" s="23" t="s">
        <v>20</v>
      </c>
      <c r="J14" s="21" t="str">
        <f>IF('Rekapitulace stavby'!AN10="","",'Rekapitulace stavby'!AN10)</f>
        <v/>
      </c>
      <c r="K14" s="181"/>
    </row>
    <row r="15" spans="2:11" s="1" customFormat="1" ht="18" customHeight="1">
      <c r="B15" s="180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K15" s="181"/>
    </row>
    <row r="16" spans="2:11" s="1" customFormat="1" ht="6.95" customHeight="1">
      <c r="B16" s="180"/>
      <c r="K16" s="181"/>
    </row>
    <row r="17" spans="2:11" s="1" customFormat="1" ht="12" customHeight="1">
      <c r="B17" s="180"/>
      <c r="D17" s="23" t="s">
        <v>22</v>
      </c>
      <c r="I17" s="23" t="s">
        <v>20</v>
      </c>
      <c r="J17" s="21" t="str">
        <f>'Rekapitulace stavby'!AN13</f>
        <v/>
      </c>
      <c r="K17" s="181"/>
    </row>
    <row r="18" spans="2:11" s="1" customFormat="1" ht="18" customHeight="1">
      <c r="B18" s="180"/>
      <c r="E18" s="235" t="str">
        <f>'Rekapitulace stavby'!E14</f>
        <v xml:space="preserve"> </v>
      </c>
      <c r="F18" s="235"/>
      <c r="G18" s="235"/>
      <c r="H18" s="235"/>
      <c r="I18" s="23" t="s">
        <v>21</v>
      </c>
      <c r="J18" s="21" t="str">
        <f>'Rekapitulace stavby'!AN14</f>
        <v/>
      </c>
      <c r="K18" s="181"/>
    </row>
    <row r="19" spans="2:11" s="1" customFormat="1" ht="6.95" customHeight="1">
      <c r="B19" s="180"/>
      <c r="K19" s="181"/>
    </row>
    <row r="20" spans="2:11" s="1" customFormat="1" ht="12" customHeight="1">
      <c r="B20" s="180"/>
      <c r="D20" s="23" t="s">
        <v>23</v>
      </c>
      <c r="I20" s="23" t="s">
        <v>20</v>
      </c>
      <c r="J20" s="21" t="s">
        <v>1</v>
      </c>
      <c r="K20" s="181"/>
    </row>
    <row r="21" spans="2:11" s="1" customFormat="1" ht="18" customHeight="1">
      <c r="B21" s="180"/>
      <c r="E21" s="21" t="s">
        <v>132</v>
      </c>
      <c r="I21" s="23" t="s">
        <v>21</v>
      </c>
      <c r="J21" s="21" t="s">
        <v>1</v>
      </c>
      <c r="K21" s="181"/>
    </row>
    <row r="22" spans="2:11" s="1" customFormat="1" ht="6.95" customHeight="1">
      <c r="B22" s="180"/>
      <c r="K22" s="181"/>
    </row>
    <row r="23" spans="2:11" s="1" customFormat="1" ht="12" customHeight="1">
      <c r="B23" s="180"/>
      <c r="D23" s="23" t="s">
        <v>26</v>
      </c>
      <c r="I23" s="23" t="s">
        <v>20</v>
      </c>
      <c r="J23" s="21" t="str">
        <f>IF('Rekapitulace stavby'!AN19="","",'Rekapitulace stavby'!AN19)</f>
        <v/>
      </c>
      <c r="K23" s="181"/>
    </row>
    <row r="24" spans="2:11" s="1" customFormat="1" ht="18" customHeight="1">
      <c r="B24" s="180"/>
      <c r="E24" s="21" t="str">
        <f>IF('Rekapitulace stavby'!E20="","",'Rekapitulace stavby'!E20)</f>
        <v xml:space="preserve"> </v>
      </c>
      <c r="I24" s="23" t="s">
        <v>21</v>
      </c>
      <c r="J24" s="21" t="str">
        <f>IF('Rekapitulace stavby'!AN20="","",'Rekapitulace stavby'!AN20)</f>
        <v/>
      </c>
      <c r="K24" s="181"/>
    </row>
    <row r="25" spans="2:11" s="1" customFormat="1" ht="6.95" customHeight="1">
      <c r="B25" s="180"/>
      <c r="K25" s="181"/>
    </row>
    <row r="26" spans="2:11" s="1" customFormat="1" ht="12" customHeight="1">
      <c r="B26" s="180"/>
      <c r="D26" s="23" t="s">
        <v>27</v>
      </c>
      <c r="K26" s="181"/>
    </row>
    <row r="27" spans="2:11" s="7" customFormat="1" ht="71.25" customHeight="1">
      <c r="B27" s="192"/>
      <c r="E27" s="238"/>
      <c r="F27" s="238"/>
      <c r="G27" s="238"/>
      <c r="H27" s="238"/>
      <c r="K27" s="193"/>
    </row>
    <row r="28" spans="2:11" s="1" customFormat="1" ht="6.95" customHeight="1">
      <c r="B28" s="180"/>
      <c r="K28" s="181"/>
    </row>
    <row r="29" spans="2:11" s="1" customFormat="1" ht="6.95" customHeight="1">
      <c r="B29" s="180"/>
      <c r="D29" s="47"/>
      <c r="E29" s="47"/>
      <c r="F29" s="47"/>
      <c r="G29" s="47"/>
      <c r="H29" s="47"/>
      <c r="I29" s="47"/>
      <c r="J29" s="47"/>
      <c r="K29" s="194"/>
    </row>
    <row r="30" spans="2:11" s="1" customFormat="1" ht="25.35" customHeight="1">
      <c r="B30" s="180"/>
      <c r="D30" s="83" t="s">
        <v>29</v>
      </c>
      <c r="J30" s="59">
        <f>ROUND(J82,2)</f>
        <v>0</v>
      </c>
      <c r="K30" s="181"/>
    </row>
    <row r="31" spans="2:11" ht="12">
      <c r="B31" s="182"/>
      <c r="K31" s="183"/>
    </row>
    <row r="32" spans="2:11" ht="12">
      <c r="B32" s="182"/>
      <c r="K32" s="183"/>
    </row>
    <row r="33" spans="2:11" s="1" customFormat="1" ht="6.95" customHeight="1">
      <c r="B33" s="184"/>
      <c r="C33" s="41"/>
      <c r="D33" s="41"/>
      <c r="E33" s="41"/>
      <c r="F33" s="41"/>
      <c r="G33" s="41"/>
      <c r="H33" s="41"/>
      <c r="I33" s="41"/>
      <c r="J33" s="41"/>
      <c r="K33" s="185"/>
    </row>
    <row r="34" spans="2:11" s="1" customFormat="1" ht="24.95" customHeight="1">
      <c r="B34" s="180"/>
      <c r="C34" s="18" t="s">
        <v>83</v>
      </c>
      <c r="K34" s="181"/>
    </row>
    <row r="35" spans="2:11" s="1" customFormat="1" ht="6.95" customHeight="1">
      <c r="B35" s="180"/>
      <c r="K35" s="181"/>
    </row>
    <row r="36" spans="2:11" s="1" customFormat="1" ht="12" customHeight="1">
      <c r="B36" s="180"/>
      <c r="C36" s="23" t="s">
        <v>13</v>
      </c>
      <c r="K36" s="181"/>
    </row>
    <row r="37" spans="2:11" s="1" customFormat="1" ht="16.5" customHeight="1">
      <c r="B37" s="180"/>
      <c r="E37" s="254" t="str">
        <f>E7</f>
        <v>Oprava gynekologicko-porodnické oddělení</v>
      </c>
      <c r="F37" s="254"/>
      <c r="G37" s="254"/>
      <c r="H37" s="254"/>
      <c r="K37" s="181"/>
    </row>
    <row r="38" spans="2:11" s="1" customFormat="1" ht="12" customHeight="1">
      <c r="B38" s="180"/>
      <c r="C38" s="23" t="s">
        <v>82</v>
      </c>
      <c r="K38" s="181"/>
    </row>
    <row r="39" spans="2:11" s="1" customFormat="1" ht="16.5" customHeight="1">
      <c r="B39" s="180"/>
      <c r="E39" s="245" t="str">
        <f>E9</f>
        <v>Sesterna a vyšetřovna</v>
      </c>
      <c r="F39" s="245"/>
      <c r="G39" s="245"/>
      <c r="H39" s="245"/>
      <c r="K39" s="181"/>
    </row>
    <row r="40" spans="2:11" s="1" customFormat="1" ht="6.95" customHeight="1">
      <c r="B40" s="180"/>
      <c r="K40" s="181"/>
    </row>
    <row r="41" spans="2:11" s="1" customFormat="1" ht="12" customHeight="1">
      <c r="B41" s="180"/>
      <c r="C41" s="23" t="s">
        <v>16</v>
      </c>
      <c r="F41" s="21" t="str">
        <f>F12</f>
        <v xml:space="preserve"> </v>
      </c>
      <c r="I41" s="23" t="s">
        <v>18</v>
      </c>
      <c r="J41" s="46">
        <f>IF(J12="","",J12)</f>
        <v>45194</v>
      </c>
      <c r="K41" s="181"/>
    </row>
    <row r="42" spans="2:11" s="1" customFormat="1" ht="6.95" customHeight="1">
      <c r="B42" s="180"/>
      <c r="K42" s="181"/>
    </row>
    <row r="43" spans="2:11" s="1" customFormat="1" ht="15.2" customHeight="1">
      <c r="B43" s="180"/>
      <c r="C43" s="23" t="s">
        <v>19</v>
      </c>
      <c r="F43" s="21" t="str">
        <f>E15</f>
        <v xml:space="preserve"> </v>
      </c>
      <c r="I43" s="23" t="s">
        <v>23</v>
      </c>
      <c r="J43" s="24" t="str">
        <f>E21</f>
        <v>Ing. arch. Jan Ságl</v>
      </c>
      <c r="K43" s="181"/>
    </row>
    <row r="44" spans="2:11" s="1" customFormat="1" ht="15.2" customHeight="1">
      <c r="B44" s="180"/>
      <c r="C44" s="23" t="s">
        <v>22</v>
      </c>
      <c r="F44" s="21" t="str">
        <f>IF(E18="","",E18)</f>
        <v xml:space="preserve"> </v>
      </c>
      <c r="I44" s="23" t="s">
        <v>26</v>
      </c>
      <c r="J44" s="24" t="str">
        <f>E24</f>
        <v xml:space="preserve"> </v>
      </c>
      <c r="K44" s="181"/>
    </row>
    <row r="45" spans="2:11" s="1" customFormat="1" ht="10.35" customHeight="1">
      <c r="B45" s="180"/>
      <c r="K45" s="181"/>
    </row>
    <row r="46" spans="2:11" s="1" customFormat="1" ht="29.25" customHeight="1">
      <c r="B46" s="180"/>
      <c r="C46" s="95" t="s">
        <v>84</v>
      </c>
      <c r="D46" s="87"/>
      <c r="E46" s="87"/>
      <c r="F46" s="87"/>
      <c r="G46" s="87"/>
      <c r="H46" s="87"/>
      <c r="I46" s="87"/>
      <c r="J46" s="96" t="s">
        <v>85</v>
      </c>
      <c r="K46" s="195"/>
    </row>
    <row r="47" spans="2:11" s="1" customFormat="1" ht="10.35" customHeight="1">
      <c r="B47" s="180"/>
      <c r="K47" s="181"/>
    </row>
    <row r="48" spans="2:11" s="1" customFormat="1" ht="23.1" customHeight="1">
      <c r="B48" s="196"/>
      <c r="C48" s="197"/>
      <c r="D48" s="197"/>
      <c r="E48" s="197"/>
      <c r="F48" s="197"/>
      <c r="G48" s="197"/>
      <c r="H48" s="197"/>
      <c r="I48" s="197"/>
      <c r="J48" s="197"/>
      <c r="K48" s="198"/>
    </row>
    <row r="49" spans="1:11" s="8" customFormat="1" ht="24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9" customFormat="1" ht="20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9" customFormat="1" ht="20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9" customFormat="1" ht="20.1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1" s="9" customFormat="1" ht="20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9" customFormat="1" ht="20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9" customFormat="1" ht="20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9" customFormat="1" ht="20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9" customFormat="1" ht="20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8" customFormat="1" ht="24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9" customFormat="1" ht="20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9" customFormat="1" ht="20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9" customFormat="1" ht="20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9" customFormat="1" ht="20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9" customFormat="1" ht="20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9" customFormat="1" ht="20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9" customFormat="1" ht="20.1" customHeight="1">
      <c r="A65"/>
      <c r="B65"/>
      <c r="C65"/>
      <c r="D65"/>
      <c r="E65"/>
      <c r="F65"/>
      <c r="G65"/>
      <c r="H65"/>
      <c r="I65"/>
      <c r="J65"/>
      <c r="K65"/>
    </row>
    <row r="66" spans="1:11" s="9" customFormat="1" ht="20.1" customHeight="1">
      <c r="A66"/>
      <c r="B66"/>
      <c r="C66"/>
      <c r="D66"/>
      <c r="E66"/>
      <c r="F66"/>
      <c r="G66"/>
      <c r="H66"/>
      <c r="I66"/>
      <c r="J66"/>
      <c r="K66"/>
    </row>
    <row r="67" spans="1:11" s="9" customFormat="1" ht="20.1" customHeight="1" thickBo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20.1" customHeight="1">
      <c r="A68" s="1"/>
      <c r="B68" s="152"/>
      <c r="C68" s="153"/>
      <c r="D68" s="153"/>
      <c r="E68" s="153"/>
      <c r="F68" s="153"/>
      <c r="G68" s="153"/>
      <c r="H68" s="153"/>
      <c r="I68" s="153"/>
      <c r="J68" s="154"/>
      <c r="K68" s="41"/>
    </row>
    <row r="69" spans="1:11" s="9" customFormat="1" ht="20.1" customHeight="1">
      <c r="A69" s="1"/>
      <c r="B69" s="155"/>
      <c r="C69" s="18" t="s">
        <v>88</v>
      </c>
      <c r="D69" s="1"/>
      <c r="E69" s="1"/>
      <c r="F69" s="1"/>
      <c r="G69" s="1"/>
      <c r="H69" s="1"/>
      <c r="I69" s="1"/>
      <c r="J69" s="156"/>
      <c r="K69" s="1"/>
    </row>
    <row r="70" spans="1:11" s="9" customFormat="1" ht="20.1" customHeight="1">
      <c r="A70" s="1"/>
      <c r="B70" s="155"/>
      <c r="C70" s="1"/>
      <c r="D70" s="1"/>
      <c r="E70" s="1"/>
      <c r="F70" s="1"/>
      <c r="G70" s="1"/>
      <c r="H70" s="1"/>
      <c r="I70" s="1"/>
      <c r="J70" s="156"/>
      <c r="K70" s="1"/>
    </row>
    <row r="71" spans="1:11" s="9" customFormat="1" ht="20.1" customHeight="1">
      <c r="A71" s="1"/>
      <c r="B71" s="155"/>
      <c r="C71" s="23" t="s">
        <v>13</v>
      </c>
      <c r="D71" s="1"/>
      <c r="E71" s="1"/>
      <c r="F71" s="1"/>
      <c r="G71" s="1"/>
      <c r="H71" s="1"/>
      <c r="I71" s="1"/>
      <c r="J71" s="156"/>
      <c r="K71" s="1"/>
    </row>
    <row r="72" spans="1:11" s="9" customFormat="1" ht="20.1" customHeight="1">
      <c r="A72" s="1"/>
      <c r="B72" s="155"/>
      <c r="C72" s="1"/>
      <c r="D72" s="1"/>
      <c r="E72" s="254" t="str">
        <f>E7</f>
        <v>Oprava gynekologicko-porodnické oddělení</v>
      </c>
      <c r="F72" s="255"/>
      <c r="G72" s="255"/>
      <c r="H72" s="255"/>
      <c r="I72" s="1"/>
      <c r="J72" s="156"/>
      <c r="K72" s="1"/>
    </row>
    <row r="73" spans="1:11" s="9" customFormat="1" ht="20.1" customHeight="1">
      <c r="A73" s="1"/>
      <c r="B73" s="155"/>
      <c r="C73" s="23" t="s">
        <v>82</v>
      </c>
      <c r="D73" s="1"/>
      <c r="E73" s="1"/>
      <c r="F73" s="1"/>
      <c r="G73" s="1"/>
      <c r="H73" s="1"/>
      <c r="I73" s="1"/>
      <c r="J73" s="156"/>
      <c r="K73" s="1"/>
    </row>
    <row r="74" spans="2:10" s="1" customFormat="1" ht="21.75" customHeight="1">
      <c r="B74" s="155"/>
      <c r="E74" s="245"/>
      <c r="F74" s="256"/>
      <c r="G74" s="256"/>
      <c r="H74" s="256"/>
      <c r="J74" s="156"/>
    </row>
    <row r="75" spans="2:10" s="1" customFormat="1" ht="6.95" customHeight="1">
      <c r="B75" s="155"/>
      <c r="J75" s="156"/>
    </row>
    <row r="76" spans="2:10" s="1" customFormat="1" ht="15" customHeight="1">
      <c r="B76" s="155"/>
      <c r="C76" s="23" t="s">
        <v>16</v>
      </c>
      <c r="F76" s="21" t="str">
        <f>F12</f>
        <v xml:space="preserve"> </v>
      </c>
      <c r="I76" s="23" t="s">
        <v>18</v>
      </c>
      <c r="J76" s="157">
        <f>IF(J12="","",J12)</f>
        <v>45194</v>
      </c>
    </row>
    <row r="77" spans="2:10" s="1" customFormat="1" ht="15" customHeight="1">
      <c r="B77" s="155"/>
      <c r="J77" s="156"/>
    </row>
    <row r="78" spans="2:10" s="1" customFormat="1" ht="15" customHeight="1">
      <c r="B78" s="155"/>
      <c r="C78" s="23" t="s">
        <v>19</v>
      </c>
      <c r="F78" s="21" t="str">
        <f>E15</f>
        <v xml:space="preserve"> </v>
      </c>
      <c r="I78" s="23" t="s">
        <v>23</v>
      </c>
      <c r="J78" s="158" t="str">
        <f>E21</f>
        <v>Ing. arch. Jan Ságl</v>
      </c>
    </row>
    <row r="79" spans="1:11" s="141" customFormat="1" ht="15" customHeight="1">
      <c r="A79" s="1"/>
      <c r="B79" s="155"/>
      <c r="C79" s="23" t="s">
        <v>22</v>
      </c>
      <c r="D79" s="1"/>
      <c r="E79" s="1"/>
      <c r="F79" s="21" t="str">
        <f>IF(E18="","",E18)</f>
        <v xml:space="preserve"> </v>
      </c>
      <c r="G79" s="1"/>
      <c r="H79" s="1"/>
      <c r="I79" s="23" t="s">
        <v>26</v>
      </c>
      <c r="J79" s="158" t="str">
        <f>E24</f>
        <v xml:space="preserve"> </v>
      </c>
      <c r="K79" s="1"/>
    </row>
    <row r="80" spans="2:10" s="1" customFormat="1" ht="15" customHeight="1">
      <c r="B80" s="155"/>
      <c r="J80" s="156"/>
    </row>
    <row r="81" spans="1:11" s="1" customFormat="1" ht="15" customHeight="1">
      <c r="A81" s="10"/>
      <c r="B81" s="159"/>
      <c r="C81" s="103" t="s">
        <v>89</v>
      </c>
      <c r="D81" s="104" t="s">
        <v>54</v>
      </c>
      <c r="E81" s="104" t="s">
        <v>50</v>
      </c>
      <c r="F81" s="104" t="s">
        <v>51</v>
      </c>
      <c r="G81" s="104" t="s">
        <v>90</v>
      </c>
      <c r="H81" s="104" t="s">
        <v>91</v>
      </c>
      <c r="I81" s="104" t="s">
        <v>92</v>
      </c>
      <c r="J81" s="160" t="s">
        <v>85</v>
      </c>
      <c r="K81" s="106" t="s">
        <v>93</v>
      </c>
    </row>
    <row r="82" spans="2:10" s="1" customFormat="1" ht="15" customHeight="1">
      <c r="B82" s="155"/>
      <c r="C82" s="57" t="s">
        <v>100</v>
      </c>
      <c r="J82" s="161">
        <f>SUM(J85:M133)</f>
        <v>0</v>
      </c>
    </row>
    <row r="83" spans="1:11" s="1" customFormat="1" ht="15" customHeight="1">
      <c r="A83" s="11"/>
      <c r="B83" s="162"/>
      <c r="C83" s="11"/>
      <c r="D83" s="112"/>
      <c r="E83" s="113"/>
      <c r="F83" s="113"/>
      <c r="G83" s="11"/>
      <c r="H83" s="11"/>
      <c r="I83" s="11"/>
      <c r="J83" s="163"/>
      <c r="K83" s="11"/>
    </row>
    <row r="84" spans="1:11" s="1" customFormat="1" ht="15" customHeight="1">
      <c r="A84" s="11"/>
      <c r="B84" s="162"/>
      <c r="C84" s="11"/>
      <c r="D84" s="112"/>
      <c r="E84" s="113"/>
      <c r="F84" s="120" t="s">
        <v>134</v>
      </c>
      <c r="G84" s="11"/>
      <c r="H84" s="11"/>
      <c r="I84" s="11"/>
      <c r="J84" s="163"/>
      <c r="K84" s="11"/>
    </row>
    <row r="85" spans="1:11" s="1" customFormat="1" ht="15" customHeight="1">
      <c r="A85"/>
      <c r="B85" s="166"/>
      <c r="C85" s="123">
        <v>1</v>
      </c>
      <c r="D85" s="123" t="s">
        <v>103</v>
      </c>
      <c r="E85" s="124"/>
      <c r="F85" s="125" t="s">
        <v>143</v>
      </c>
      <c r="G85" s="126" t="s">
        <v>111</v>
      </c>
      <c r="H85" s="127">
        <v>2</v>
      </c>
      <c r="I85" s="128">
        <v>0</v>
      </c>
      <c r="J85" s="164">
        <f>ROUND(I85*H85,2)</f>
        <v>0</v>
      </c>
      <c r="K85"/>
    </row>
    <row r="86" spans="1:11" s="1" customFormat="1" ht="38.1" customHeight="1">
      <c r="A86"/>
      <c r="B86" s="166"/>
      <c r="C86"/>
      <c r="D86"/>
      <c r="E86"/>
      <c r="F86" s="148" t="s">
        <v>145</v>
      </c>
      <c r="G86"/>
      <c r="H86"/>
      <c r="I86"/>
      <c r="J86" s="167"/>
      <c r="K86"/>
    </row>
    <row r="87" spans="1:11" s="1" customFormat="1" ht="15" customHeight="1">
      <c r="A87"/>
      <c r="B87" s="166"/>
      <c r="C87" s="123">
        <v>2</v>
      </c>
      <c r="D87" s="123" t="s">
        <v>103</v>
      </c>
      <c r="E87" s="124"/>
      <c r="F87" s="125" t="s">
        <v>149</v>
      </c>
      <c r="G87" s="126" t="s">
        <v>111</v>
      </c>
      <c r="H87" s="127">
        <v>2</v>
      </c>
      <c r="I87" s="128">
        <v>0</v>
      </c>
      <c r="J87" s="164">
        <f aca="true" t="shared" si="0" ref="J87:J92">ROUND(I87*H87,2)</f>
        <v>0</v>
      </c>
      <c r="K87"/>
    </row>
    <row r="88" spans="1:11" s="1" customFormat="1" ht="15" customHeight="1">
      <c r="A88"/>
      <c r="B88" s="166"/>
      <c r="C88" s="123">
        <v>3</v>
      </c>
      <c r="D88" s="123" t="s">
        <v>103</v>
      </c>
      <c r="E88" s="124"/>
      <c r="F88" s="125" t="s">
        <v>147</v>
      </c>
      <c r="G88" s="126" t="s">
        <v>106</v>
      </c>
      <c r="H88" s="127">
        <f>H105*4</f>
        <v>148</v>
      </c>
      <c r="I88" s="128">
        <v>0</v>
      </c>
      <c r="J88" s="164">
        <f t="shared" si="0"/>
        <v>0</v>
      </c>
      <c r="K88"/>
    </row>
    <row r="89" spans="1:11" s="1" customFormat="1" ht="15" customHeight="1">
      <c r="A89"/>
      <c r="B89" s="166"/>
      <c r="C89" s="123">
        <v>4</v>
      </c>
      <c r="D89" s="123" t="s">
        <v>103</v>
      </c>
      <c r="E89" s="124"/>
      <c r="F89" s="125" t="s">
        <v>150</v>
      </c>
      <c r="G89" s="126" t="s">
        <v>108</v>
      </c>
      <c r="H89" s="127">
        <f>2+2</f>
        <v>4</v>
      </c>
      <c r="I89" s="128">
        <v>0</v>
      </c>
      <c r="J89" s="164">
        <f t="shared" si="0"/>
        <v>0</v>
      </c>
      <c r="K89"/>
    </row>
    <row r="90" spans="1:11" s="1" customFormat="1" ht="15" customHeight="1">
      <c r="A90"/>
      <c r="B90" s="166"/>
      <c r="C90" s="123">
        <v>5</v>
      </c>
      <c r="D90" s="123" t="s">
        <v>103</v>
      </c>
      <c r="E90" s="124"/>
      <c r="F90" s="125" t="s">
        <v>153</v>
      </c>
      <c r="G90" s="126" t="s">
        <v>111</v>
      </c>
      <c r="H90" s="127">
        <v>2</v>
      </c>
      <c r="I90" s="128">
        <v>0</v>
      </c>
      <c r="J90" s="164">
        <f t="shared" si="0"/>
        <v>0</v>
      </c>
      <c r="K90"/>
    </row>
    <row r="91" spans="1:11" s="1" customFormat="1" ht="32.1" customHeight="1">
      <c r="A91"/>
      <c r="B91" s="166"/>
      <c r="C91" s="123">
        <v>6</v>
      </c>
      <c r="D91" s="123" t="s">
        <v>103</v>
      </c>
      <c r="E91" s="124"/>
      <c r="F91" s="125" t="s">
        <v>160</v>
      </c>
      <c r="G91" s="126" t="s">
        <v>106</v>
      </c>
      <c r="H91" s="127">
        <f>20+17</f>
        <v>37</v>
      </c>
      <c r="I91" s="128">
        <v>0</v>
      </c>
      <c r="J91" s="186">
        <f t="shared" si="0"/>
        <v>0</v>
      </c>
      <c r="K91"/>
    </row>
    <row r="92" spans="2:12" ht="15" customHeight="1">
      <c r="B92" s="166"/>
      <c r="C92" s="123">
        <v>7</v>
      </c>
      <c r="D92" s="123" t="s">
        <v>103</v>
      </c>
      <c r="E92" s="124"/>
      <c r="F92" s="125" t="s">
        <v>241</v>
      </c>
      <c r="G92" s="126" t="s">
        <v>106</v>
      </c>
      <c r="H92" s="127">
        <f>(9+7+6+3)*4</f>
        <v>100</v>
      </c>
      <c r="I92" s="128">
        <v>0</v>
      </c>
      <c r="J92" s="186">
        <f t="shared" si="0"/>
        <v>0</v>
      </c>
      <c r="L92" s="1"/>
    </row>
    <row r="93" spans="2:10" ht="15" customHeight="1">
      <c r="B93" s="166"/>
      <c r="J93" s="167"/>
    </row>
    <row r="94" spans="1:11" ht="12.75">
      <c r="A94" s="11"/>
      <c r="B94" s="162"/>
      <c r="C94" s="123"/>
      <c r="D94" s="142"/>
      <c r="E94" s="143"/>
      <c r="F94" s="120" t="s">
        <v>156</v>
      </c>
      <c r="G94" s="145"/>
      <c r="H94" s="146"/>
      <c r="I94" s="147"/>
      <c r="J94" s="165"/>
      <c r="K94" s="11"/>
    </row>
    <row r="95" spans="1:11" ht="12">
      <c r="A95" s="11"/>
      <c r="B95" s="162"/>
      <c r="C95" s="123">
        <v>8</v>
      </c>
      <c r="D95" s="123" t="s">
        <v>103</v>
      </c>
      <c r="E95" s="124"/>
      <c r="F95" s="125" t="s">
        <v>158</v>
      </c>
      <c r="G95" s="126" t="s">
        <v>106</v>
      </c>
      <c r="H95" s="127">
        <f>6+4.5+6.5+3+1.5+3+2.5</f>
        <v>27</v>
      </c>
      <c r="I95" s="128">
        <v>0</v>
      </c>
      <c r="J95" s="164">
        <f>ROUND(I95*H95,2)</f>
        <v>0</v>
      </c>
      <c r="K95" s="11"/>
    </row>
    <row r="96" spans="1:11" ht="12">
      <c r="A96" s="11"/>
      <c r="B96" s="162"/>
      <c r="C96" s="123">
        <v>9</v>
      </c>
      <c r="D96" s="123" t="s">
        <v>103</v>
      </c>
      <c r="E96" s="124"/>
      <c r="F96" s="125" t="s">
        <v>215</v>
      </c>
      <c r="G96" s="126" t="s">
        <v>170</v>
      </c>
      <c r="H96" s="127">
        <v>3</v>
      </c>
      <c r="I96" s="128">
        <v>0</v>
      </c>
      <c r="J96" s="164">
        <f>ROUND(I96*H96,2)</f>
        <v>0</v>
      </c>
      <c r="K96" s="11"/>
    </row>
    <row r="97" spans="1:11" ht="12">
      <c r="A97" s="11"/>
      <c r="B97" s="162"/>
      <c r="C97" s="123"/>
      <c r="D97" s="123"/>
      <c r="E97" s="124"/>
      <c r="F97" s="125"/>
      <c r="G97" s="126"/>
      <c r="H97" s="127"/>
      <c r="I97" s="128"/>
      <c r="J97" s="164"/>
      <c r="K97" s="11"/>
    </row>
    <row r="98" spans="1:11" ht="12.75">
      <c r="A98" s="11"/>
      <c r="B98" s="162"/>
      <c r="C98" s="123"/>
      <c r="D98" s="123"/>
      <c r="E98" s="124"/>
      <c r="F98" s="120" t="s">
        <v>159</v>
      </c>
      <c r="G98" s="126"/>
      <c r="H98" s="127"/>
      <c r="I98" s="128"/>
      <c r="J98" s="164"/>
      <c r="K98" s="11"/>
    </row>
    <row r="99" spans="1:11" ht="24">
      <c r="A99" s="11"/>
      <c r="B99" s="162"/>
      <c r="C99" s="123">
        <v>10</v>
      </c>
      <c r="D99" s="123" t="s">
        <v>103</v>
      </c>
      <c r="E99" s="124"/>
      <c r="F99" s="125" t="s">
        <v>202</v>
      </c>
      <c r="G99" s="126" t="s">
        <v>106</v>
      </c>
      <c r="H99" s="127">
        <f>H88</f>
        <v>148</v>
      </c>
      <c r="I99" s="128">
        <v>0</v>
      </c>
      <c r="J99" s="164">
        <f>ROUND(I99*H99,2)</f>
        <v>0</v>
      </c>
      <c r="K99" s="11"/>
    </row>
    <row r="100" spans="1:11" ht="12">
      <c r="A100" s="11"/>
      <c r="B100" s="162"/>
      <c r="C100" s="123">
        <v>11</v>
      </c>
      <c r="D100" s="123" t="s">
        <v>103</v>
      </c>
      <c r="E100" s="124"/>
      <c r="F100" s="125" t="s">
        <v>192</v>
      </c>
      <c r="G100" s="126" t="s">
        <v>106</v>
      </c>
      <c r="H100" s="127">
        <f>H99</f>
        <v>148</v>
      </c>
      <c r="I100" s="128">
        <v>0</v>
      </c>
      <c r="J100" s="164">
        <f>ROUND(I100*H100,2)</f>
        <v>0</v>
      </c>
      <c r="K100" s="11"/>
    </row>
    <row r="101" spans="1:11" ht="24">
      <c r="A101" s="11"/>
      <c r="B101" s="162"/>
      <c r="C101" s="123">
        <v>12</v>
      </c>
      <c r="D101" s="123" t="s">
        <v>103</v>
      </c>
      <c r="E101" s="124"/>
      <c r="F101" s="125" t="s">
        <v>162</v>
      </c>
      <c r="G101" s="126" t="s">
        <v>106</v>
      </c>
      <c r="H101" s="127">
        <f>H91</f>
        <v>37</v>
      </c>
      <c r="I101" s="128">
        <v>0</v>
      </c>
      <c r="J101" s="164">
        <f>ROUND(I101*H101,2)</f>
        <v>0</v>
      </c>
      <c r="K101" s="11"/>
    </row>
    <row r="102" spans="1:11" ht="12">
      <c r="A102" s="11"/>
      <c r="B102" s="162"/>
      <c r="C102" s="123"/>
      <c r="D102" s="142"/>
      <c r="E102" s="143"/>
      <c r="F102" s="148" t="s">
        <v>161</v>
      </c>
      <c r="G102" s="145"/>
      <c r="H102" s="146"/>
      <c r="I102" s="147"/>
      <c r="J102" s="165"/>
      <c r="K102" s="11"/>
    </row>
    <row r="103" spans="1:11" ht="12">
      <c r="A103" s="11"/>
      <c r="B103" s="162"/>
      <c r="C103" s="123">
        <v>13</v>
      </c>
      <c r="D103" s="123" t="s">
        <v>103</v>
      </c>
      <c r="E103" s="124"/>
      <c r="F103" s="125" t="s">
        <v>165</v>
      </c>
      <c r="G103" s="126" t="s">
        <v>106</v>
      </c>
      <c r="H103" s="127">
        <f>H101*1.1</f>
        <v>40.7</v>
      </c>
      <c r="I103" s="128">
        <v>0</v>
      </c>
      <c r="J103" s="164">
        <f>ROUND(I103*H103,2)</f>
        <v>0</v>
      </c>
      <c r="K103" s="11"/>
    </row>
    <row r="104" spans="1:11" ht="12">
      <c r="A104" s="11"/>
      <c r="B104" s="162"/>
      <c r="C104" s="123"/>
      <c r="D104" s="142"/>
      <c r="E104" s="143"/>
      <c r="F104" s="148" t="s">
        <v>225</v>
      </c>
      <c r="G104" s="126"/>
      <c r="H104" s="127"/>
      <c r="I104" s="128"/>
      <c r="J104" s="164"/>
      <c r="K104" s="11"/>
    </row>
    <row r="105" spans="2:11" ht="12">
      <c r="B105" s="162"/>
      <c r="C105" s="123">
        <v>14</v>
      </c>
      <c r="D105" s="142"/>
      <c r="E105" s="143"/>
      <c r="F105" s="125" t="s">
        <v>166</v>
      </c>
      <c r="G105" s="126" t="s">
        <v>108</v>
      </c>
      <c r="H105" s="127">
        <f>19+18</f>
        <v>37</v>
      </c>
      <c r="I105" s="128">
        <v>0</v>
      </c>
      <c r="J105" s="164">
        <f aca="true" t="shared" si="1" ref="J105:J112">ROUND(I105*H105,2)</f>
        <v>0</v>
      </c>
      <c r="K105" s="11"/>
    </row>
    <row r="106" spans="1:11" ht="12">
      <c r="A106" s="11"/>
      <c r="B106" s="162"/>
      <c r="C106" s="123">
        <v>15</v>
      </c>
      <c r="D106" s="123" t="s">
        <v>103</v>
      </c>
      <c r="E106" s="124"/>
      <c r="F106" s="125" t="s">
        <v>167</v>
      </c>
      <c r="G106" s="126" t="s">
        <v>106</v>
      </c>
      <c r="H106" s="127">
        <f>H101</f>
        <v>37</v>
      </c>
      <c r="I106" s="128">
        <v>0</v>
      </c>
      <c r="J106" s="164">
        <f t="shared" si="1"/>
        <v>0</v>
      </c>
      <c r="K106" s="11"/>
    </row>
    <row r="107" spans="1:11" ht="24">
      <c r="A107" s="11"/>
      <c r="B107" s="162"/>
      <c r="C107" s="123">
        <v>16</v>
      </c>
      <c r="D107" s="123" t="s">
        <v>103</v>
      </c>
      <c r="E107" s="124"/>
      <c r="F107" s="125" t="s">
        <v>221</v>
      </c>
      <c r="G107" s="126" t="s">
        <v>106</v>
      </c>
      <c r="H107" s="127">
        <f>H99</f>
        <v>148</v>
      </c>
      <c r="I107" s="128">
        <v>0</v>
      </c>
      <c r="J107" s="164">
        <f t="shared" si="1"/>
        <v>0</v>
      </c>
      <c r="K107" s="11"/>
    </row>
    <row r="108" spans="1:11" ht="12">
      <c r="A108" s="11"/>
      <c r="B108" s="162"/>
      <c r="C108" s="123">
        <v>17</v>
      </c>
      <c r="D108" s="123" t="s">
        <v>103</v>
      </c>
      <c r="E108" s="124"/>
      <c r="F108" s="125" t="s">
        <v>200</v>
      </c>
      <c r="G108" s="126" t="s">
        <v>108</v>
      </c>
      <c r="H108" s="127">
        <f>H89</f>
        <v>4</v>
      </c>
      <c r="I108" s="128">
        <v>0</v>
      </c>
      <c r="J108" s="164">
        <f t="shared" si="1"/>
        <v>0</v>
      </c>
      <c r="K108" s="11"/>
    </row>
    <row r="109" spans="1:11" ht="12">
      <c r="A109" s="11"/>
      <c r="B109" s="162"/>
      <c r="C109" s="123">
        <v>18</v>
      </c>
      <c r="D109" s="123" t="s">
        <v>103</v>
      </c>
      <c r="E109" s="124"/>
      <c r="F109" s="125" t="s">
        <v>228</v>
      </c>
      <c r="G109" s="126" t="s">
        <v>106</v>
      </c>
      <c r="H109" s="127">
        <f>4+4+3</f>
        <v>11</v>
      </c>
      <c r="I109" s="128">
        <v>0</v>
      </c>
      <c r="J109" s="164">
        <f t="shared" si="1"/>
        <v>0</v>
      </c>
      <c r="K109" s="11"/>
    </row>
    <row r="110" spans="1:11" ht="24">
      <c r="A110" s="11"/>
      <c r="B110" s="162"/>
      <c r="C110" s="123">
        <v>19</v>
      </c>
      <c r="D110" s="123" t="s">
        <v>103</v>
      </c>
      <c r="E110" s="124"/>
      <c r="F110" s="125" t="s">
        <v>232</v>
      </c>
      <c r="G110" s="126" t="s">
        <v>106</v>
      </c>
      <c r="H110" s="127">
        <f>5+4+5</f>
        <v>14</v>
      </c>
      <c r="I110" s="128">
        <v>0</v>
      </c>
      <c r="J110" s="164">
        <f t="shared" si="1"/>
        <v>0</v>
      </c>
      <c r="K110" s="11"/>
    </row>
    <row r="111" spans="1:11" ht="24">
      <c r="A111" s="11"/>
      <c r="B111" s="162"/>
      <c r="C111" s="123">
        <v>20</v>
      </c>
      <c r="D111" s="123" t="s">
        <v>103</v>
      </c>
      <c r="E111" s="124"/>
      <c r="F111" s="125" t="s">
        <v>243</v>
      </c>
      <c r="G111" s="126" t="s">
        <v>106</v>
      </c>
      <c r="H111" s="127">
        <f>(9.5+7.5+8.5)*2</f>
        <v>51</v>
      </c>
      <c r="I111" s="128">
        <v>0</v>
      </c>
      <c r="J111" s="164">
        <f t="shared" si="1"/>
        <v>0</v>
      </c>
      <c r="K111" s="11"/>
    </row>
    <row r="112" spans="1:11" ht="36">
      <c r="A112" s="11"/>
      <c r="B112" s="162"/>
      <c r="C112" s="123">
        <v>21</v>
      </c>
      <c r="D112" s="123" t="s">
        <v>103</v>
      </c>
      <c r="E112" s="124"/>
      <c r="F112" s="125" t="s">
        <v>246</v>
      </c>
      <c r="G112" s="126" t="s">
        <v>106</v>
      </c>
      <c r="H112" s="127">
        <f>H110*2</f>
        <v>28</v>
      </c>
      <c r="I112" s="128">
        <v>0</v>
      </c>
      <c r="J112" s="164">
        <f t="shared" si="1"/>
        <v>0</v>
      </c>
      <c r="K112" s="11"/>
    </row>
    <row r="113" spans="1:11" ht="12">
      <c r="A113" s="11"/>
      <c r="B113" s="162"/>
      <c r="C113" s="123"/>
      <c r="D113" s="142"/>
      <c r="E113" s="143"/>
      <c r="F113" s="144"/>
      <c r="G113" s="145"/>
      <c r="H113" s="146"/>
      <c r="I113" s="147"/>
      <c r="J113" s="165"/>
      <c r="K113" s="11"/>
    </row>
    <row r="114" spans="1:11" ht="12">
      <c r="A114" s="11"/>
      <c r="B114" s="162"/>
      <c r="C114" s="123"/>
      <c r="D114" s="142"/>
      <c r="E114" s="143"/>
      <c r="F114" s="144"/>
      <c r="G114" s="145"/>
      <c r="H114" s="146"/>
      <c r="I114" s="147"/>
      <c r="J114" s="165"/>
      <c r="K114" s="11"/>
    </row>
    <row r="115" spans="1:11" ht="12.75">
      <c r="A115" s="11"/>
      <c r="B115" s="162"/>
      <c r="C115" s="123"/>
      <c r="D115" s="112" t="s">
        <v>68</v>
      </c>
      <c r="E115" s="120" t="s">
        <v>102</v>
      </c>
      <c r="F115" s="120" t="s">
        <v>110</v>
      </c>
      <c r="G115" s="11"/>
      <c r="H115" s="11"/>
      <c r="I115" s="11"/>
      <c r="J115" s="169"/>
      <c r="K115" s="11"/>
    </row>
    <row r="116" spans="1:11" ht="12">
      <c r="A116" s="1"/>
      <c r="B116" s="170"/>
      <c r="C116" s="123">
        <v>22</v>
      </c>
      <c r="D116" s="123" t="s">
        <v>103</v>
      </c>
      <c r="E116" s="124"/>
      <c r="F116" s="125" t="s">
        <v>206</v>
      </c>
      <c r="G116" s="126" t="s">
        <v>104</v>
      </c>
      <c r="H116" s="127">
        <v>8</v>
      </c>
      <c r="I116" s="128">
        <v>0</v>
      </c>
      <c r="J116" s="164">
        <f aca="true" t="shared" si="2" ref="J116:J123">ROUND(I116*H116,2)</f>
        <v>0</v>
      </c>
      <c r="K116" s="151"/>
    </row>
    <row r="117" spans="1:11" ht="24">
      <c r="A117" s="1"/>
      <c r="B117" s="170"/>
      <c r="C117" s="123">
        <v>23</v>
      </c>
      <c r="D117" s="123" t="s">
        <v>103</v>
      </c>
      <c r="E117" s="124"/>
      <c r="F117" s="125" t="s">
        <v>305</v>
      </c>
      <c r="G117" s="126" t="s">
        <v>104</v>
      </c>
      <c r="H117" s="127">
        <v>2</v>
      </c>
      <c r="I117" s="128">
        <v>0</v>
      </c>
      <c r="J117" s="164">
        <f>I117*H117</f>
        <v>0</v>
      </c>
      <c r="K117" s="151"/>
    </row>
    <row r="118" spans="1:11" ht="12">
      <c r="A118" s="1"/>
      <c r="B118" s="170"/>
      <c r="C118" s="123"/>
      <c r="D118" s="123"/>
      <c r="E118" s="124"/>
      <c r="F118" s="125" t="s">
        <v>224</v>
      </c>
      <c r="G118" s="126"/>
      <c r="H118" s="127">
        <v>1</v>
      </c>
      <c r="I118" s="128">
        <v>0</v>
      </c>
      <c r="J118" s="164">
        <f t="shared" si="2"/>
        <v>0</v>
      </c>
      <c r="K118" s="151"/>
    </row>
    <row r="119" spans="1:11" ht="12">
      <c r="A119" s="1"/>
      <c r="B119" s="170"/>
      <c r="C119" s="123">
        <v>24</v>
      </c>
      <c r="D119" s="123"/>
      <c r="E119" s="124"/>
      <c r="F119" s="150" t="s">
        <v>259</v>
      </c>
      <c r="G119" s="126" t="s">
        <v>111</v>
      </c>
      <c r="H119" s="127">
        <v>3</v>
      </c>
      <c r="I119" s="128">
        <v>0</v>
      </c>
      <c r="J119" s="164">
        <f t="shared" si="2"/>
        <v>0</v>
      </c>
      <c r="K119" s="149"/>
    </row>
    <row r="120" spans="1:11" ht="12">
      <c r="A120" s="1"/>
      <c r="B120" s="170"/>
      <c r="C120" s="123">
        <v>25</v>
      </c>
      <c r="D120" s="123"/>
      <c r="E120" s="124"/>
      <c r="F120" s="150" t="s">
        <v>249</v>
      </c>
      <c r="G120" s="126" t="s">
        <v>111</v>
      </c>
      <c r="H120" s="127">
        <v>2</v>
      </c>
      <c r="I120" s="128">
        <v>0</v>
      </c>
      <c r="J120" s="164">
        <f t="shared" si="2"/>
        <v>0</v>
      </c>
      <c r="K120" s="149"/>
    </row>
    <row r="121" spans="1:11" ht="12">
      <c r="A121" s="1"/>
      <c r="B121" s="170"/>
      <c r="C121" s="123">
        <v>26</v>
      </c>
      <c r="D121" s="123"/>
      <c r="E121" s="124"/>
      <c r="F121" s="150" t="s">
        <v>257</v>
      </c>
      <c r="G121" s="126" t="s">
        <v>111</v>
      </c>
      <c r="H121" s="127">
        <v>2</v>
      </c>
      <c r="I121" s="128">
        <v>0</v>
      </c>
      <c r="J121" s="164">
        <f t="shared" si="2"/>
        <v>0</v>
      </c>
      <c r="K121" s="149"/>
    </row>
    <row r="122" spans="1:11" ht="12">
      <c r="A122" s="1"/>
      <c r="B122" s="170"/>
      <c r="C122" s="123">
        <v>27</v>
      </c>
      <c r="D122" s="123"/>
      <c r="E122" s="124"/>
      <c r="F122" s="150" t="s">
        <v>220</v>
      </c>
      <c r="G122" s="126" t="s">
        <v>111</v>
      </c>
      <c r="H122" s="127">
        <v>2</v>
      </c>
      <c r="I122" s="128">
        <v>0</v>
      </c>
      <c r="J122" s="164">
        <f t="shared" si="2"/>
        <v>0</v>
      </c>
      <c r="K122" s="149"/>
    </row>
    <row r="123" spans="1:11" ht="12">
      <c r="A123" s="1"/>
      <c r="B123" s="170"/>
      <c r="C123" s="123">
        <v>28</v>
      </c>
      <c r="D123" s="123"/>
      <c r="E123" s="124"/>
      <c r="F123" s="150" t="s">
        <v>245</v>
      </c>
      <c r="G123" s="126" t="s">
        <v>111</v>
      </c>
      <c r="H123" s="127">
        <v>2</v>
      </c>
      <c r="I123" s="128">
        <v>0</v>
      </c>
      <c r="J123" s="164">
        <f t="shared" si="2"/>
        <v>0</v>
      </c>
      <c r="K123" s="149"/>
    </row>
    <row r="124" spans="1:11" ht="24">
      <c r="A124" s="1"/>
      <c r="B124" s="170"/>
      <c r="C124" s="123"/>
      <c r="D124" s="123"/>
      <c r="E124" s="124"/>
      <c r="F124" s="148" t="s">
        <v>185</v>
      </c>
      <c r="G124" s="126"/>
      <c r="H124" s="127"/>
      <c r="I124" s="128"/>
      <c r="J124" s="164"/>
      <c r="K124" s="149"/>
    </row>
    <row r="125" spans="1:11" ht="24">
      <c r="A125" s="1"/>
      <c r="B125" s="170"/>
      <c r="C125" s="123"/>
      <c r="D125" s="123" t="s">
        <v>103</v>
      </c>
      <c r="E125" s="124"/>
      <c r="F125" s="125" t="s">
        <v>270</v>
      </c>
      <c r="G125" s="126"/>
      <c r="H125" s="127"/>
      <c r="I125" s="128"/>
      <c r="J125" s="164"/>
      <c r="K125" s="149"/>
    </row>
    <row r="126" spans="1:11" ht="12.75">
      <c r="A126" s="1"/>
      <c r="B126" s="170"/>
      <c r="C126" s="123"/>
      <c r="D126" s="142"/>
      <c r="E126" s="143"/>
      <c r="F126" s="120" t="s">
        <v>175</v>
      </c>
      <c r="G126" s="145"/>
      <c r="H126" s="146"/>
      <c r="I126" s="147"/>
      <c r="J126" s="165"/>
      <c r="K126" s="149"/>
    </row>
    <row r="127" spans="1:11" ht="12.75">
      <c r="A127" s="12"/>
      <c r="B127" s="171"/>
      <c r="C127" s="123"/>
      <c r="D127" s="142"/>
      <c r="E127" s="143"/>
      <c r="F127" s="120" t="s">
        <v>194</v>
      </c>
      <c r="G127" s="145"/>
      <c r="H127" s="146"/>
      <c r="I127" s="147"/>
      <c r="J127" s="165"/>
      <c r="K127" s="12"/>
    </row>
    <row r="128" spans="1:11" ht="24">
      <c r="A128" s="12"/>
      <c r="B128" s="171"/>
      <c r="C128" s="123">
        <v>29</v>
      </c>
      <c r="D128" s="123" t="s">
        <v>103</v>
      </c>
      <c r="E128" s="124"/>
      <c r="F128" s="125" t="s">
        <v>195</v>
      </c>
      <c r="G128" s="126" t="s">
        <v>111</v>
      </c>
      <c r="H128" s="127">
        <v>2</v>
      </c>
      <c r="I128" s="128">
        <v>0</v>
      </c>
      <c r="J128" s="164">
        <f aca="true" t="shared" si="3" ref="J128:J133">ROUND(I128*H128,2)</f>
        <v>0</v>
      </c>
      <c r="K128" s="12"/>
    </row>
    <row r="129" spans="1:11" ht="24">
      <c r="A129" s="12"/>
      <c r="B129" s="171"/>
      <c r="C129" s="123">
        <v>30</v>
      </c>
      <c r="D129" s="123" t="s">
        <v>103</v>
      </c>
      <c r="E129" s="124"/>
      <c r="F129" s="125" t="s">
        <v>256</v>
      </c>
      <c r="G129" s="126" t="s">
        <v>111</v>
      </c>
      <c r="H129" s="127">
        <v>3</v>
      </c>
      <c r="I129" s="128">
        <v>0</v>
      </c>
      <c r="J129" s="164">
        <f t="shared" si="3"/>
        <v>0</v>
      </c>
      <c r="K129" s="12"/>
    </row>
    <row r="130" spans="3:10" ht="12">
      <c r="C130" s="123">
        <v>31</v>
      </c>
      <c r="D130" s="123" t="s">
        <v>103</v>
      </c>
      <c r="E130" s="124"/>
      <c r="F130" s="125" t="s">
        <v>235</v>
      </c>
      <c r="G130" s="126" t="s">
        <v>111</v>
      </c>
      <c r="H130" s="127">
        <v>3</v>
      </c>
      <c r="I130" s="128">
        <v>0</v>
      </c>
      <c r="J130" s="164">
        <f t="shared" si="3"/>
        <v>0</v>
      </c>
    </row>
    <row r="131" spans="3:10" ht="12">
      <c r="C131" s="123">
        <v>32</v>
      </c>
      <c r="D131" s="123" t="s">
        <v>103</v>
      </c>
      <c r="E131" s="124"/>
      <c r="F131" s="125" t="s">
        <v>236</v>
      </c>
      <c r="G131" s="126" t="s">
        <v>111</v>
      </c>
      <c r="H131" s="127">
        <v>3</v>
      </c>
      <c r="I131" s="128">
        <v>0</v>
      </c>
      <c r="J131" s="164">
        <f t="shared" si="3"/>
        <v>0</v>
      </c>
    </row>
    <row r="132" spans="3:10" ht="12">
      <c r="C132" s="123">
        <v>33</v>
      </c>
      <c r="D132" s="123" t="s">
        <v>103</v>
      </c>
      <c r="E132" s="124"/>
      <c r="F132" s="125" t="s">
        <v>254</v>
      </c>
      <c r="G132" s="126" t="s">
        <v>111</v>
      </c>
      <c r="H132" s="127">
        <v>3</v>
      </c>
      <c r="I132" s="128">
        <v>0</v>
      </c>
      <c r="J132" s="164">
        <f t="shared" si="3"/>
        <v>0</v>
      </c>
    </row>
    <row r="133" spans="3:10" ht="12">
      <c r="C133" s="123">
        <v>34</v>
      </c>
      <c r="D133" s="123" t="s">
        <v>103</v>
      </c>
      <c r="E133" s="124"/>
      <c r="F133" s="125" t="s">
        <v>255</v>
      </c>
      <c r="G133" s="126" t="s">
        <v>111</v>
      </c>
      <c r="H133" s="127">
        <v>2</v>
      </c>
      <c r="I133" s="128">
        <v>0</v>
      </c>
      <c r="J133" s="164">
        <f t="shared" si="3"/>
        <v>0</v>
      </c>
    </row>
  </sheetData>
  <mergeCells count="8">
    <mergeCell ref="E72:H72"/>
    <mergeCell ref="E74:H74"/>
    <mergeCell ref="E39:H39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L122"/>
  <sheetViews>
    <sheetView showGridLines="0" zoomScale="130" zoomScaleNormal="130" workbookViewId="0" topLeftCell="A100">
      <selection activeCell="F117" sqref="F117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6.140625" style="0" customWidth="1"/>
    <col min="4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140625" style="0" customWidth="1"/>
    <col min="11" max="11" width="22.140625" style="0" hidden="1" customWidth="1"/>
    <col min="12" max="12" width="22.140625" style="0" customWidth="1"/>
    <col min="13" max="13" width="10.7109375" style="0" hidden="1" customWidth="1"/>
    <col min="14" max="19" width="14.140625" style="0" hidden="1" customWidth="1"/>
    <col min="20" max="20" width="16.140625" style="0" hidden="1" customWidth="1"/>
    <col min="21" max="21" width="12.140625" style="0" customWidth="1"/>
    <col min="22" max="22" width="16.140625" style="0" customWidth="1"/>
    <col min="23" max="23" width="12.140625" style="0" customWidth="1"/>
    <col min="24" max="24" width="15.00390625" style="0" customWidth="1"/>
    <col min="25" max="25" width="11.00390625" style="0" customWidth="1"/>
    <col min="26" max="26" width="15.00390625" style="0" customWidth="1"/>
    <col min="27" max="27" width="16.140625" style="0" customWidth="1"/>
    <col min="28" max="28" width="11.00390625" style="0" customWidth="1"/>
    <col min="29" max="29" width="15.00390625" style="0" customWidth="1"/>
    <col min="30" max="30" width="16.140625" style="0" customWidth="1"/>
  </cols>
  <sheetData>
    <row r="2" spans="2:11" ht="36.95" customHeight="1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ht="6.95" customHeight="1">
      <c r="B3" s="190"/>
      <c r="C3" s="16"/>
      <c r="D3" s="16"/>
      <c r="E3" s="16"/>
      <c r="F3" s="16"/>
      <c r="G3" s="16"/>
      <c r="H3" s="16"/>
      <c r="I3" s="16"/>
      <c r="J3" s="16"/>
      <c r="K3" s="191"/>
    </row>
    <row r="4" spans="2:11" ht="24.95" customHeight="1">
      <c r="B4" s="182"/>
      <c r="D4" s="18" t="s">
        <v>81</v>
      </c>
      <c r="K4" s="183"/>
    </row>
    <row r="5" spans="2:11" ht="6.95" customHeight="1">
      <c r="B5" s="182"/>
      <c r="K5" s="183"/>
    </row>
    <row r="6" spans="2:11" ht="12" customHeight="1">
      <c r="B6" s="182"/>
      <c r="D6" s="23" t="s">
        <v>13</v>
      </c>
      <c r="K6" s="183"/>
    </row>
    <row r="7" spans="2:11" ht="16.5" customHeight="1">
      <c r="B7" s="182"/>
      <c r="E7" s="254" t="str">
        <f>'Rekapitulace stavby'!K6</f>
        <v>Oprava gynekologicko-porodnické oddělení</v>
      </c>
      <c r="F7" s="254"/>
      <c r="G7" s="254"/>
      <c r="H7" s="254"/>
      <c r="K7" s="183"/>
    </row>
    <row r="8" spans="2:11" s="1" customFormat="1" ht="12" customHeight="1">
      <c r="B8" s="180"/>
      <c r="D8" s="23" t="s">
        <v>82</v>
      </c>
      <c r="K8" s="181"/>
    </row>
    <row r="9" spans="2:11" s="1" customFormat="1" ht="47.25" customHeight="1">
      <c r="B9" s="180"/>
      <c r="E9" s="245" t="s">
        <v>260</v>
      </c>
      <c r="F9" s="245"/>
      <c r="G9" s="245"/>
      <c r="H9" s="245"/>
      <c r="K9" s="181"/>
    </row>
    <row r="10" spans="2:11" s="1" customFormat="1" ht="12">
      <c r="B10" s="180"/>
      <c r="K10" s="181"/>
    </row>
    <row r="11" spans="2:11" s="1" customFormat="1" ht="12" customHeight="1">
      <c r="B11" s="180"/>
      <c r="D11" s="23" t="s">
        <v>14</v>
      </c>
      <c r="F11" s="21" t="s">
        <v>1</v>
      </c>
      <c r="I11" s="23" t="s">
        <v>15</v>
      </c>
      <c r="J11" s="21" t="s">
        <v>1</v>
      </c>
      <c r="K11" s="181"/>
    </row>
    <row r="12" spans="2:11" s="1" customFormat="1" ht="12" customHeight="1">
      <c r="B12" s="180"/>
      <c r="D12" s="23" t="s">
        <v>16</v>
      </c>
      <c r="F12" s="21" t="s">
        <v>17</v>
      </c>
      <c r="I12" s="23" t="s">
        <v>18</v>
      </c>
      <c r="J12" s="46">
        <f>'Rekapitulace stavby'!AN8</f>
        <v>45194</v>
      </c>
      <c r="K12" s="181"/>
    </row>
    <row r="13" spans="2:11" s="1" customFormat="1" ht="11.1" customHeight="1">
      <c r="B13" s="180"/>
      <c r="K13" s="181"/>
    </row>
    <row r="14" spans="2:11" s="1" customFormat="1" ht="12" customHeight="1">
      <c r="B14" s="180"/>
      <c r="D14" s="23" t="s">
        <v>19</v>
      </c>
      <c r="I14" s="23" t="s">
        <v>20</v>
      </c>
      <c r="J14" s="21" t="str">
        <f>IF('Rekapitulace stavby'!AN10="","",'Rekapitulace stavby'!AN10)</f>
        <v/>
      </c>
      <c r="K14" s="181"/>
    </row>
    <row r="15" spans="2:11" s="1" customFormat="1" ht="18" customHeight="1">
      <c r="B15" s="180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K15" s="181"/>
    </row>
    <row r="16" spans="2:11" s="1" customFormat="1" ht="6.95" customHeight="1">
      <c r="B16" s="180"/>
      <c r="K16" s="181"/>
    </row>
    <row r="17" spans="2:11" s="1" customFormat="1" ht="12" customHeight="1">
      <c r="B17" s="180"/>
      <c r="D17" s="23" t="s">
        <v>22</v>
      </c>
      <c r="I17" s="23" t="s">
        <v>20</v>
      </c>
      <c r="J17" s="21" t="str">
        <f>'Rekapitulace stavby'!AN13</f>
        <v/>
      </c>
      <c r="K17" s="181"/>
    </row>
    <row r="18" spans="2:11" s="1" customFormat="1" ht="18" customHeight="1">
      <c r="B18" s="180"/>
      <c r="E18" s="235" t="str">
        <f>'Rekapitulace stavby'!E14</f>
        <v xml:space="preserve"> </v>
      </c>
      <c r="F18" s="235"/>
      <c r="G18" s="235"/>
      <c r="H18" s="235"/>
      <c r="I18" s="23" t="s">
        <v>21</v>
      </c>
      <c r="J18" s="21" t="str">
        <f>'Rekapitulace stavby'!AN14</f>
        <v/>
      </c>
      <c r="K18" s="181"/>
    </row>
    <row r="19" spans="2:11" s="1" customFormat="1" ht="6.95" customHeight="1">
      <c r="B19" s="180"/>
      <c r="K19" s="181"/>
    </row>
    <row r="20" spans="2:11" s="1" customFormat="1" ht="12" customHeight="1">
      <c r="B20" s="180"/>
      <c r="D20" s="23" t="s">
        <v>23</v>
      </c>
      <c r="I20" s="23" t="s">
        <v>20</v>
      </c>
      <c r="J20" s="21" t="s">
        <v>1</v>
      </c>
      <c r="K20" s="181"/>
    </row>
    <row r="21" spans="2:11" s="1" customFormat="1" ht="18" customHeight="1">
      <c r="B21" s="180"/>
      <c r="E21" s="21" t="s">
        <v>132</v>
      </c>
      <c r="I21" s="23" t="s">
        <v>21</v>
      </c>
      <c r="J21" s="21" t="s">
        <v>1</v>
      </c>
      <c r="K21" s="181"/>
    </row>
    <row r="22" spans="2:11" s="1" customFormat="1" ht="6.95" customHeight="1">
      <c r="B22" s="180"/>
      <c r="K22" s="181"/>
    </row>
    <row r="23" spans="2:11" s="1" customFormat="1" ht="12" customHeight="1">
      <c r="B23" s="180"/>
      <c r="D23" s="23" t="s">
        <v>26</v>
      </c>
      <c r="I23" s="23" t="s">
        <v>20</v>
      </c>
      <c r="J23" s="21" t="str">
        <f>IF('Rekapitulace stavby'!AN19="","",'Rekapitulace stavby'!AN19)</f>
        <v/>
      </c>
      <c r="K23" s="181"/>
    </row>
    <row r="24" spans="2:11" s="1" customFormat="1" ht="18" customHeight="1">
      <c r="B24" s="180"/>
      <c r="E24" s="21" t="str">
        <f>IF('Rekapitulace stavby'!E20="","",'Rekapitulace stavby'!E20)</f>
        <v xml:space="preserve"> </v>
      </c>
      <c r="I24" s="23" t="s">
        <v>21</v>
      </c>
      <c r="J24" s="21" t="str">
        <f>IF('Rekapitulace stavby'!AN20="","",'Rekapitulace stavby'!AN20)</f>
        <v/>
      </c>
      <c r="K24" s="181"/>
    </row>
    <row r="25" spans="2:11" s="1" customFormat="1" ht="6.95" customHeight="1">
      <c r="B25" s="180"/>
      <c r="K25" s="181"/>
    </row>
    <row r="26" spans="2:11" s="1" customFormat="1" ht="12" customHeight="1">
      <c r="B26" s="180"/>
      <c r="D26" s="23" t="s">
        <v>27</v>
      </c>
      <c r="K26" s="181"/>
    </row>
    <row r="27" spans="2:11" s="7" customFormat="1" ht="71.25" customHeight="1">
      <c r="B27" s="192"/>
      <c r="E27" s="238"/>
      <c r="F27" s="238"/>
      <c r="G27" s="238"/>
      <c r="H27" s="238"/>
      <c r="K27" s="193"/>
    </row>
    <row r="28" spans="2:11" s="1" customFormat="1" ht="6.95" customHeight="1">
      <c r="B28" s="180"/>
      <c r="K28" s="181"/>
    </row>
    <row r="29" spans="2:11" s="1" customFormat="1" ht="6.95" customHeight="1">
      <c r="B29" s="180"/>
      <c r="D29" s="47"/>
      <c r="E29" s="47"/>
      <c r="F29" s="47"/>
      <c r="G29" s="47"/>
      <c r="H29" s="47"/>
      <c r="I29" s="47"/>
      <c r="J29" s="47"/>
      <c r="K29" s="194"/>
    </row>
    <row r="30" spans="2:11" s="1" customFormat="1" ht="25.35" customHeight="1">
      <c r="B30" s="180"/>
      <c r="D30" s="83" t="s">
        <v>29</v>
      </c>
      <c r="J30" s="59">
        <f>ROUND(J82,2)</f>
        <v>0</v>
      </c>
      <c r="K30" s="181"/>
    </row>
    <row r="31" spans="2:11" ht="12">
      <c r="B31" s="182"/>
      <c r="K31" s="183"/>
    </row>
    <row r="32" spans="2:11" ht="12">
      <c r="B32" s="182"/>
      <c r="K32" s="183"/>
    </row>
    <row r="33" spans="2:11" s="1" customFormat="1" ht="6.95" customHeight="1">
      <c r="B33" s="184"/>
      <c r="C33" s="41"/>
      <c r="D33" s="41"/>
      <c r="E33" s="41"/>
      <c r="F33" s="41"/>
      <c r="G33" s="41"/>
      <c r="H33" s="41"/>
      <c r="I33" s="41"/>
      <c r="J33" s="41"/>
      <c r="K33" s="185"/>
    </row>
    <row r="34" spans="2:11" s="1" customFormat="1" ht="24.95" customHeight="1">
      <c r="B34" s="180"/>
      <c r="C34" s="18" t="s">
        <v>83</v>
      </c>
      <c r="K34" s="181"/>
    </row>
    <row r="35" spans="2:11" s="1" customFormat="1" ht="6.95" customHeight="1">
      <c r="B35" s="180"/>
      <c r="K35" s="181"/>
    </row>
    <row r="36" spans="2:11" s="1" customFormat="1" ht="12" customHeight="1">
      <c r="B36" s="180"/>
      <c r="C36" s="23" t="s">
        <v>13</v>
      </c>
      <c r="K36" s="181"/>
    </row>
    <row r="37" spans="2:11" s="1" customFormat="1" ht="16.5" customHeight="1">
      <c r="B37" s="180"/>
      <c r="E37" s="254" t="str">
        <f>E7</f>
        <v>Oprava gynekologicko-porodnické oddělení</v>
      </c>
      <c r="F37" s="254"/>
      <c r="G37" s="254"/>
      <c r="H37" s="254"/>
      <c r="K37" s="181"/>
    </row>
    <row r="38" spans="2:11" s="1" customFormat="1" ht="12" customHeight="1">
      <c r="B38" s="180"/>
      <c r="C38" s="23" t="s">
        <v>82</v>
      </c>
      <c r="K38" s="181"/>
    </row>
    <row r="39" spans="2:11" s="1" customFormat="1" ht="16.5" customHeight="1">
      <c r="B39" s="180"/>
      <c r="E39" s="245" t="str">
        <f>E9</f>
        <v>Pokoje 11,12,13,14,15,16</v>
      </c>
      <c r="F39" s="245"/>
      <c r="G39" s="245"/>
      <c r="H39" s="245"/>
      <c r="K39" s="181"/>
    </row>
    <row r="40" spans="2:11" s="1" customFormat="1" ht="6.95" customHeight="1">
      <c r="B40" s="180"/>
      <c r="K40" s="181"/>
    </row>
    <row r="41" spans="2:11" s="1" customFormat="1" ht="12" customHeight="1">
      <c r="B41" s="180"/>
      <c r="C41" s="23" t="s">
        <v>16</v>
      </c>
      <c r="F41" s="21" t="str">
        <f>F12</f>
        <v xml:space="preserve"> </v>
      </c>
      <c r="I41" s="23" t="s">
        <v>18</v>
      </c>
      <c r="J41" s="46">
        <f>IF(J12="","",J12)</f>
        <v>45194</v>
      </c>
      <c r="K41" s="181"/>
    </row>
    <row r="42" spans="2:11" s="1" customFormat="1" ht="6.95" customHeight="1">
      <c r="B42" s="180"/>
      <c r="K42" s="181"/>
    </row>
    <row r="43" spans="2:11" s="1" customFormat="1" ht="15.2" customHeight="1">
      <c r="B43" s="180"/>
      <c r="C43" s="23" t="s">
        <v>19</v>
      </c>
      <c r="F43" s="21" t="str">
        <f>E15</f>
        <v xml:space="preserve"> </v>
      </c>
      <c r="I43" s="23" t="s">
        <v>23</v>
      </c>
      <c r="J43" s="24" t="str">
        <f>E21</f>
        <v>Ing. arch. Jan Ságl</v>
      </c>
      <c r="K43" s="181"/>
    </row>
    <row r="44" spans="2:11" s="1" customFormat="1" ht="15.2" customHeight="1">
      <c r="B44" s="180"/>
      <c r="C44" s="23" t="s">
        <v>22</v>
      </c>
      <c r="F44" s="21" t="str">
        <f>IF(E18="","",E18)</f>
        <v xml:space="preserve"> </v>
      </c>
      <c r="I44" s="23" t="s">
        <v>26</v>
      </c>
      <c r="J44" s="24" t="str">
        <f>E24</f>
        <v xml:space="preserve"> </v>
      </c>
      <c r="K44" s="181"/>
    </row>
    <row r="45" spans="2:11" s="1" customFormat="1" ht="10.35" customHeight="1">
      <c r="B45" s="180"/>
      <c r="K45" s="181"/>
    </row>
    <row r="46" spans="2:11" s="1" customFormat="1" ht="29.25" customHeight="1">
      <c r="B46" s="180"/>
      <c r="C46" s="95" t="s">
        <v>84</v>
      </c>
      <c r="D46" s="87"/>
      <c r="E46" s="87"/>
      <c r="F46" s="87"/>
      <c r="G46" s="87"/>
      <c r="H46" s="87"/>
      <c r="I46" s="87"/>
      <c r="J46" s="96" t="s">
        <v>85</v>
      </c>
      <c r="K46" s="195"/>
    </row>
    <row r="47" spans="2:11" s="1" customFormat="1" ht="10.35" customHeight="1">
      <c r="B47" s="180"/>
      <c r="K47" s="181"/>
    </row>
    <row r="48" spans="2:11" s="1" customFormat="1" ht="23.1" customHeight="1">
      <c r="B48" s="196"/>
      <c r="C48" s="197"/>
      <c r="D48" s="197"/>
      <c r="E48" s="197"/>
      <c r="F48" s="197"/>
      <c r="G48" s="197"/>
      <c r="H48" s="197"/>
      <c r="I48" s="197"/>
      <c r="J48" s="197"/>
      <c r="K48" s="198"/>
    </row>
    <row r="49" spans="1:11" s="8" customFormat="1" ht="24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9" customFormat="1" ht="20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9" customFormat="1" ht="20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9" customFormat="1" ht="20.1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1" s="9" customFormat="1" ht="20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9" customFormat="1" ht="20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9" customFormat="1" ht="20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9" customFormat="1" ht="20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9" customFormat="1" ht="20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8" customFormat="1" ht="24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9" customFormat="1" ht="20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9" customFormat="1" ht="20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9" customFormat="1" ht="20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9" customFormat="1" ht="20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9" customFormat="1" ht="20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9" customFormat="1" ht="20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9" customFormat="1" ht="20.1" customHeight="1">
      <c r="A65"/>
      <c r="B65"/>
      <c r="C65"/>
      <c r="D65"/>
      <c r="E65"/>
      <c r="F65"/>
      <c r="G65"/>
      <c r="H65"/>
      <c r="I65"/>
      <c r="J65"/>
      <c r="K65"/>
    </row>
    <row r="66" spans="1:11" s="9" customFormat="1" ht="20.1" customHeight="1">
      <c r="A66"/>
      <c r="B66"/>
      <c r="C66"/>
      <c r="D66"/>
      <c r="E66"/>
      <c r="F66"/>
      <c r="G66"/>
      <c r="H66"/>
      <c r="I66"/>
      <c r="J66"/>
      <c r="K66"/>
    </row>
    <row r="67" spans="1:11" s="9" customFormat="1" ht="20.1" customHeight="1" thickBo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20.1" customHeight="1">
      <c r="A68" s="1"/>
      <c r="B68" s="152"/>
      <c r="C68" s="153"/>
      <c r="D68" s="153"/>
      <c r="E68" s="153"/>
      <c r="F68" s="153"/>
      <c r="G68" s="153"/>
      <c r="H68" s="153"/>
      <c r="I68" s="153"/>
      <c r="J68" s="154"/>
      <c r="K68" s="41"/>
    </row>
    <row r="69" spans="1:11" s="9" customFormat="1" ht="20.1" customHeight="1">
      <c r="A69" s="1"/>
      <c r="B69" s="155"/>
      <c r="C69" s="18" t="s">
        <v>88</v>
      </c>
      <c r="D69" s="1"/>
      <c r="E69" s="1"/>
      <c r="F69" s="1"/>
      <c r="G69" s="1"/>
      <c r="H69" s="1"/>
      <c r="I69" s="1"/>
      <c r="J69" s="156"/>
      <c r="K69" s="1"/>
    </row>
    <row r="70" spans="1:11" s="9" customFormat="1" ht="20.1" customHeight="1">
      <c r="A70" s="1"/>
      <c r="B70" s="155"/>
      <c r="C70" s="1"/>
      <c r="D70" s="1"/>
      <c r="E70" s="1"/>
      <c r="F70" s="1"/>
      <c r="G70" s="1"/>
      <c r="H70" s="1"/>
      <c r="I70" s="1"/>
      <c r="J70" s="156"/>
      <c r="K70" s="1"/>
    </row>
    <row r="71" spans="1:11" s="9" customFormat="1" ht="20.1" customHeight="1">
      <c r="A71" s="1"/>
      <c r="B71" s="155"/>
      <c r="C71" s="23" t="s">
        <v>13</v>
      </c>
      <c r="D71" s="1"/>
      <c r="E71" s="1"/>
      <c r="F71" s="1"/>
      <c r="G71" s="1"/>
      <c r="H71" s="1"/>
      <c r="I71" s="1"/>
      <c r="J71" s="156"/>
      <c r="K71" s="1"/>
    </row>
    <row r="72" spans="1:11" s="9" customFormat="1" ht="20.1" customHeight="1">
      <c r="A72" s="1"/>
      <c r="B72" s="155"/>
      <c r="C72" s="1"/>
      <c r="D72" s="1"/>
      <c r="E72" s="254" t="str">
        <f>E7</f>
        <v>Oprava gynekologicko-porodnické oddělení</v>
      </c>
      <c r="F72" s="255"/>
      <c r="G72" s="255"/>
      <c r="H72" s="255"/>
      <c r="I72" s="1"/>
      <c r="J72" s="156"/>
      <c r="K72" s="1"/>
    </row>
    <row r="73" spans="1:11" s="9" customFormat="1" ht="20.1" customHeight="1">
      <c r="A73" s="1"/>
      <c r="B73" s="155"/>
      <c r="C73" s="23" t="s">
        <v>82</v>
      </c>
      <c r="D73" s="1"/>
      <c r="E73" s="1"/>
      <c r="F73" s="1"/>
      <c r="G73" s="1"/>
      <c r="H73" s="1"/>
      <c r="I73" s="1"/>
      <c r="J73" s="156"/>
      <c r="K73" s="1"/>
    </row>
    <row r="74" spans="2:10" s="1" customFormat="1" ht="21.75" customHeight="1">
      <c r="B74" s="155"/>
      <c r="E74" s="245" t="s">
        <v>260</v>
      </c>
      <c r="F74" s="256"/>
      <c r="G74" s="256"/>
      <c r="H74" s="256"/>
      <c r="J74" s="156"/>
    </row>
    <row r="75" spans="2:10" s="1" customFormat="1" ht="6.95" customHeight="1">
      <c r="B75" s="155"/>
      <c r="J75" s="156"/>
    </row>
    <row r="76" spans="2:10" s="1" customFormat="1" ht="15" customHeight="1">
      <c r="B76" s="155"/>
      <c r="C76" s="23" t="s">
        <v>16</v>
      </c>
      <c r="F76" s="21" t="str">
        <f>F12</f>
        <v xml:space="preserve"> </v>
      </c>
      <c r="I76" s="23" t="s">
        <v>18</v>
      </c>
      <c r="J76" s="157">
        <f>IF(J12="","",J12)</f>
        <v>45194</v>
      </c>
    </row>
    <row r="77" spans="2:10" s="1" customFormat="1" ht="15" customHeight="1">
      <c r="B77" s="155"/>
      <c r="J77" s="156"/>
    </row>
    <row r="78" spans="2:10" s="1" customFormat="1" ht="15" customHeight="1">
      <c r="B78" s="155"/>
      <c r="C78" s="23" t="s">
        <v>19</v>
      </c>
      <c r="F78" s="21" t="str">
        <f>E15</f>
        <v xml:space="preserve"> </v>
      </c>
      <c r="I78" s="23" t="s">
        <v>23</v>
      </c>
      <c r="J78" s="158" t="str">
        <f>E21</f>
        <v>Ing. arch. Jan Ságl</v>
      </c>
    </row>
    <row r="79" spans="1:11" s="141" customFormat="1" ht="15" customHeight="1">
      <c r="A79" s="1"/>
      <c r="B79" s="155"/>
      <c r="C79" s="23" t="s">
        <v>22</v>
      </c>
      <c r="D79" s="1"/>
      <c r="E79" s="1"/>
      <c r="F79" s="21" t="str">
        <f>IF(E18="","",E18)</f>
        <v xml:space="preserve"> </v>
      </c>
      <c r="G79" s="1"/>
      <c r="H79" s="1"/>
      <c r="I79" s="23" t="s">
        <v>26</v>
      </c>
      <c r="J79" s="158" t="str">
        <f>E24</f>
        <v xml:space="preserve"> </v>
      </c>
      <c r="K79" s="1"/>
    </row>
    <row r="80" spans="2:10" s="1" customFormat="1" ht="15" customHeight="1">
      <c r="B80" s="155"/>
      <c r="J80" s="156"/>
    </row>
    <row r="81" spans="1:11" s="1" customFormat="1" ht="15" customHeight="1">
      <c r="A81" s="10"/>
      <c r="B81" s="159"/>
      <c r="C81" s="103" t="s">
        <v>89</v>
      </c>
      <c r="D81" s="104" t="s">
        <v>54</v>
      </c>
      <c r="E81" s="104" t="s">
        <v>50</v>
      </c>
      <c r="F81" s="104" t="s">
        <v>51</v>
      </c>
      <c r="G81" s="104" t="s">
        <v>90</v>
      </c>
      <c r="H81" s="104" t="s">
        <v>91</v>
      </c>
      <c r="I81" s="104" t="s">
        <v>92</v>
      </c>
      <c r="J81" s="160" t="s">
        <v>85</v>
      </c>
      <c r="K81" s="106" t="s">
        <v>93</v>
      </c>
    </row>
    <row r="82" spans="2:10" s="1" customFormat="1" ht="15" customHeight="1">
      <c r="B82" s="155"/>
      <c r="C82" s="57" t="s">
        <v>100</v>
      </c>
      <c r="J82" s="161">
        <f>SUM(J85:J122)</f>
        <v>0</v>
      </c>
    </row>
    <row r="83" spans="1:11" s="1" customFormat="1" ht="15" customHeight="1">
      <c r="A83" s="11"/>
      <c r="B83" s="162"/>
      <c r="C83" s="11"/>
      <c r="D83" s="112"/>
      <c r="E83" s="113"/>
      <c r="F83" s="113"/>
      <c r="G83" s="11"/>
      <c r="H83" s="11"/>
      <c r="I83" s="11"/>
      <c r="J83" s="163"/>
      <c r="K83" s="11"/>
    </row>
    <row r="84" spans="1:11" s="1" customFormat="1" ht="15" customHeight="1">
      <c r="A84" s="11"/>
      <c r="B84" s="162"/>
      <c r="C84" s="11"/>
      <c r="D84" s="112"/>
      <c r="E84" s="113"/>
      <c r="F84" s="120" t="s">
        <v>134</v>
      </c>
      <c r="G84" s="11"/>
      <c r="H84" s="11"/>
      <c r="I84" s="11"/>
      <c r="J84" s="163"/>
      <c r="K84" s="11"/>
    </row>
    <row r="85" spans="1:11" s="1" customFormat="1" ht="15" customHeight="1">
      <c r="A85"/>
      <c r="B85" s="166"/>
      <c r="C85" s="123">
        <v>1</v>
      </c>
      <c r="D85" s="123" t="s">
        <v>103</v>
      </c>
      <c r="E85" s="124"/>
      <c r="F85" s="125" t="s">
        <v>143</v>
      </c>
      <c r="G85" s="126" t="s">
        <v>111</v>
      </c>
      <c r="H85" s="127">
        <v>6</v>
      </c>
      <c r="I85" s="128">
        <v>0</v>
      </c>
      <c r="J85" s="164">
        <f>ROUND(I85*H85,2)</f>
        <v>0</v>
      </c>
      <c r="K85"/>
    </row>
    <row r="86" spans="1:11" s="1" customFormat="1" ht="15" customHeight="1">
      <c r="A86"/>
      <c r="B86" s="166"/>
      <c r="C86"/>
      <c r="D86"/>
      <c r="E86"/>
      <c r="F86" s="148" t="s">
        <v>145</v>
      </c>
      <c r="G86"/>
      <c r="H86"/>
      <c r="I86"/>
      <c r="J86" s="167"/>
      <c r="K86"/>
    </row>
    <row r="87" spans="1:11" s="1" customFormat="1" ht="15" customHeight="1">
      <c r="A87"/>
      <c r="B87" s="166"/>
      <c r="C87" s="123">
        <v>2</v>
      </c>
      <c r="D87" s="123" t="s">
        <v>103</v>
      </c>
      <c r="E87" s="124"/>
      <c r="F87" s="125" t="s">
        <v>149</v>
      </c>
      <c r="G87" s="126" t="s">
        <v>111</v>
      </c>
      <c r="H87" s="127">
        <v>6</v>
      </c>
      <c r="I87" s="128">
        <v>0</v>
      </c>
      <c r="J87" s="164">
        <f>ROUND(I87*H87,2)</f>
        <v>0</v>
      </c>
      <c r="K87"/>
    </row>
    <row r="88" spans="1:11" s="1" customFormat="1" ht="15" customHeight="1">
      <c r="A88"/>
      <c r="B88" s="166"/>
      <c r="C88" s="123">
        <v>3</v>
      </c>
      <c r="D88" s="123" t="s">
        <v>103</v>
      </c>
      <c r="E88" s="124"/>
      <c r="F88" s="125" t="s">
        <v>147</v>
      </c>
      <c r="G88" s="126" t="s">
        <v>106</v>
      </c>
      <c r="H88" s="127">
        <f>H102*6</f>
        <v>648</v>
      </c>
      <c r="I88" s="128">
        <v>0</v>
      </c>
      <c r="J88" s="164">
        <f>ROUND(I88*H88,2)</f>
        <v>0</v>
      </c>
      <c r="K88"/>
    </row>
    <row r="89" spans="1:11" s="1" customFormat="1" ht="15" customHeight="1">
      <c r="A89"/>
      <c r="B89" s="166"/>
      <c r="C89" s="123">
        <v>4</v>
      </c>
      <c r="D89" s="123" t="s">
        <v>103</v>
      </c>
      <c r="E89" s="124"/>
      <c r="F89" s="125" t="s">
        <v>150</v>
      </c>
      <c r="G89" s="126" t="s">
        <v>108</v>
      </c>
      <c r="H89" s="127">
        <f>6*2</f>
        <v>12</v>
      </c>
      <c r="I89" s="128">
        <v>0</v>
      </c>
      <c r="J89" s="164">
        <f>ROUND(I89*H89,2)</f>
        <v>0</v>
      </c>
      <c r="K89"/>
    </row>
    <row r="90" spans="1:11" s="1" customFormat="1" ht="15" customHeight="1">
      <c r="A90"/>
      <c r="B90" s="166"/>
      <c r="C90" s="123">
        <v>5</v>
      </c>
      <c r="D90" s="123" t="s">
        <v>103</v>
      </c>
      <c r="E90" s="124"/>
      <c r="F90" s="125" t="s">
        <v>153</v>
      </c>
      <c r="G90" s="126" t="s">
        <v>111</v>
      </c>
      <c r="H90" s="127">
        <v>6</v>
      </c>
      <c r="I90" s="128">
        <v>0</v>
      </c>
      <c r="J90" s="164">
        <f>ROUND(I90*H90,2)</f>
        <v>0</v>
      </c>
      <c r="K90"/>
    </row>
    <row r="91" spans="1:11" s="1" customFormat="1" ht="27" customHeight="1">
      <c r="A91"/>
      <c r="B91" s="166"/>
      <c r="C91" s="123">
        <v>6</v>
      </c>
      <c r="D91" s="123" t="s">
        <v>103</v>
      </c>
      <c r="E91" s="124"/>
      <c r="F91" s="125" t="s">
        <v>160</v>
      </c>
      <c r="G91" s="126" t="s">
        <v>106</v>
      </c>
      <c r="H91" s="127">
        <f>6*18</f>
        <v>108</v>
      </c>
      <c r="I91" s="128">
        <v>0</v>
      </c>
      <c r="J91" s="186">
        <f>ROUND(I91*H91,2)</f>
        <v>0</v>
      </c>
      <c r="K91"/>
    </row>
    <row r="92" spans="2:10" ht="15" customHeight="1">
      <c r="B92" s="166"/>
      <c r="J92" s="167"/>
    </row>
    <row r="93" spans="1:11" ht="12.75">
      <c r="A93" s="11"/>
      <c r="B93" s="162"/>
      <c r="C93" s="123"/>
      <c r="D93" s="142"/>
      <c r="E93" s="143"/>
      <c r="F93" s="120" t="s">
        <v>156</v>
      </c>
      <c r="G93" s="145"/>
      <c r="H93" s="146"/>
      <c r="I93" s="147"/>
      <c r="J93" s="165"/>
      <c r="K93" s="11"/>
    </row>
    <row r="94" spans="1:11" ht="12">
      <c r="A94" s="11"/>
      <c r="B94" s="162"/>
      <c r="C94" s="123"/>
      <c r="D94" s="123"/>
      <c r="E94" s="124"/>
      <c r="F94" s="125"/>
      <c r="G94" s="126"/>
      <c r="H94" s="127"/>
      <c r="I94" s="128"/>
      <c r="J94" s="164"/>
      <c r="K94" s="11"/>
    </row>
    <row r="95" spans="1:11" ht="12.75">
      <c r="A95" s="11"/>
      <c r="B95" s="162"/>
      <c r="C95" s="123"/>
      <c r="D95" s="123"/>
      <c r="E95" s="124"/>
      <c r="F95" s="120" t="s">
        <v>159</v>
      </c>
      <c r="G95" s="126"/>
      <c r="H95" s="127"/>
      <c r="I95" s="128"/>
      <c r="J95" s="164"/>
      <c r="K95" s="11"/>
    </row>
    <row r="96" spans="1:11" ht="24">
      <c r="A96" s="11"/>
      <c r="B96" s="162"/>
      <c r="C96" s="123">
        <v>7</v>
      </c>
      <c r="D96" s="123" t="s">
        <v>103</v>
      </c>
      <c r="E96" s="124"/>
      <c r="F96" s="125" t="s">
        <v>202</v>
      </c>
      <c r="G96" s="126" t="s">
        <v>106</v>
      </c>
      <c r="H96" s="127">
        <f>H88</f>
        <v>648</v>
      </c>
      <c r="I96" s="128">
        <v>0</v>
      </c>
      <c r="J96" s="164">
        <f>ROUND(I96*H96,2)</f>
        <v>0</v>
      </c>
      <c r="K96" s="11"/>
    </row>
    <row r="97" spans="1:12" ht="12">
      <c r="A97" s="11"/>
      <c r="B97" s="162"/>
      <c r="C97" s="123">
        <v>8</v>
      </c>
      <c r="D97" s="123" t="s">
        <v>103</v>
      </c>
      <c r="E97" s="124"/>
      <c r="F97" s="125" t="s">
        <v>192</v>
      </c>
      <c r="G97" s="126" t="s">
        <v>106</v>
      </c>
      <c r="H97" s="127">
        <f>H96</f>
        <v>648</v>
      </c>
      <c r="I97" s="128">
        <v>0</v>
      </c>
      <c r="J97" s="164">
        <f>ROUND(I97*H97,2)</f>
        <v>0</v>
      </c>
      <c r="K97" s="11"/>
      <c r="L97" s="1"/>
    </row>
    <row r="98" spans="1:11" ht="24">
      <c r="A98" s="11"/>
      <c r="B98" s="162"/>
      <c r="C98" s="123">
        <v>9</v>
      </c>
      <c r="D98" s="123" t="s">
        <v>103</v>
      </c>
      <c r="E98" s="124"/>
      <c r="F98" s="125" t="s">
        <v>162</v>
      </c>
      <c r="G98" s="126" t="s">
        <v>106</v>
      </c>
      <c r="H98" s="127">
        <f>H91</f>
        <v>108</v>
      </c>
      <c r="I98" s="128">
        <v>0</v>
      </c>
      <c r="J98" s="164">
        <f>ROUND(I98*H98,2)</f>
        <v>0</v>
      </c>
      <c r="K98" s="11"/>
    </row>
    <row r="99" spans="1:11" ht="12">
      <c r="A99" s="11"/>
      <c r="B99" s="162"/>
      <c r="C99" s="123"/>
      <c r="D99" s="142"/>
      <c r="E99" s="143"/>
      <c r="F99" s="148" t="s">
        <v>161</v>
      </c>
      <c r="G99" s="145"/>
      <c r="H99" s="146"/>
      <c r="I99" s="147"/>
      <c r="J99" s="165"/>
      <c r="K99" s="11"/>
    </row>
    <row r="100" spans="1:11" ht="12">
      <c r="A100" s="11"/>
      <c r="B100" s="162"/>
      <c r="C100" s="123">
        <v>10</v>
      </c>
      <c r="D100" s="123" t="s">
        <v>103</v>
      </c>
      <c r="E100" s="124"/>
      <c r="F100" s="125" t="s">
        <v>165</v>
      </c>
      <c r="G100" s="126" t="s">
        <v>106</v>
      </c>
      <c r="H100" s="127">
        <f>H98*1.1</f>
        <v>118.80000000000001</v>
      </c>
      <c r="I100" s="128">
        <v>0</v>
      </c>
      <c r="J100" s="164">
        <f>ROUND(I100*H100,2)</f>
        <v>0</v>
      </c>
      <c r="K100" s="11"/>
    </row>
    <row r="101" spans="1:11" ht="12">
      <c r="A101" s="11"/>
      <c r="B101" s="162"/>
      <c r="C101" s="123"/>
      <c r="D101" s="142"/>
      <c r="E101" s="143"/>
      <c r="F101" s="148" t="s">
        <v>225</v>
      </c>
      <c r="G101" s="126"/>
      <c r="H101" s="127"/>
      <c r="I101" s="128"/>
      <c r="J101" s="164"/>
      <c r="K101" s="11"/>
    </row>
    <row r="102" spans="2:11" ht="12">
      <c r="B102" s="162"/>
      <c r="C102" s="123">
        <v>11</v>
      </c>
      <c r="D102" s="142"/>
      <c r="E102" s="143"/>
      <c r="F102" s="125" t="s">
        <v>166</v>
      </c>
      <c r="G102" s="126" t="s">
        <v>108</v>
      </c>
      <c r="H102" s="127">
        <f>6*18</f>
        <v>108</v>
      </c>
      <c r="I102" s="128">
        <v>0</v>
      </c>
      <c r="J102" s="164">
        <f>ROUND(I102*H102,2)</f>
        <v>0</v>
      </c>
      <c r="K102" s="11"/>
    </row>
    <row r="103" spans="1:11" ht="12">
      <c r="A103" s="11"/>
      <c r="B103" s="162"/>
      <c r="C103" s="123">
        <v>12</v>
      </c>
      <c r="D103" s="123" t="s">
        <v>103</v>
      </c>
      <c r="E103" s="124"/>
      <c r="F103" s="125" t="s">
        <v>167</v>
      </c>
      <c r="G103" s="126" t="s">
        <v>106</v>
      </c>
      <c r="H103" s="127">
        <f>H98</f>
        <v>108</v>
      </c>
      <c r="I103" s="128">
        <v>0</v>
      </c>
      <c r="J103" s="164">
        <f>ROUND(I103*H103,2)</f>
        <v>0</v>
      </c>
      <c r="K103" s="11"/>
    </row>
    <row r="104" spans="1:11" ht="24">
      <c r="A104" s="11"/>
      <c r="B104" s="162"/>
      <c r="C104" s="123">
        <v>13</v>
      </c>
      <c r="D104" s="123" t="s">
        <v>103</v>
      </c>
      <c r="E104" s="124"/>
      <c r="F104" s="125" t="s">
        <v>221</v>
      </c>
      <c r="G104" s="126" t="s">
        <v>106</v>
      </c>
      <c r="H104" s="127">
        <f>H96</f>
        <v>648</v>
      </c>
      <c r="I104" s="128">
        <v>0</v>
      </c>
      <c r="J104" s="164">
        <f>ROUND(I104*H104,2)</f>
        <v>0</v>
      </c>
      <c r="K104" s="11"/>
    </row>
    <row r="105" spans="1:11" ht="12">
      <c r="A105" s="11"/>
      <c r="B105" s="162"/>
      <c r="C105" s="123">
        <v>14</v>
      </c>
      <c r="D105" s="123" t="s">
        <v>103</v>
      </c>
      <c r="E105" s="124"/>
      <c r="F105" s="125" t="s">
        <v>200</v>
      </c>
      <c r="G105" s="126" t="s">
        <v>108</v>
      </c>
      <c r="H105" s="127">
        <f>H89</f>
        <v>12</v>
      </c>
      <c r="I105" s="128">
        <v>0</v>
      </c>
      <c r="J105" s="164">
        <f>ROUND(I105*H105,2)</f>
        <v>0</v>
      </c>
      <c r="K105" s="11"/>
    </row>
    <row r="106" spans="1:11" ht="12">
      <c r="A106" s="11"/>
      <c r="B106" s="162"/>
      <c r="C106" s="123">
        <v>15</v>
      </c>
      <c r="D106" s="123" t="s">
        <v>103</v>
      </c>
      <c r="E106" s="124"/>
      <c r="F106" s="125" t="s">
        <v>261</v>
      </c>
      <c r="G106" s="126" t="s">
        <v>106</v>
      </c>
      <c r="H106" s="127">
        <f>6*2</f>
        <v>12</v>
      </c>
      <c r="I106" s="128">
        <v>0</v>
      </c>
      <c r="J106" s="164">
        <f>ROUND(I106*H106,2)</f>
        <v>0</v>
      </c>
      <c r="K106" s="11"/>
    </row>
    <row r="107" spans="1:11" ht="12">
      <c r="A107" s="11"/>
      <c r="B107" s="162"/>
      <c r="C107" s="123"/>
      <c r="D107" s="142"/>
      <c r="E107" s="143"/>
      <c r="F107" s="144"/>
      <c r="G107" s="145"/>
      <c r="H107" s="146"/>
      <c r="I107" s="147"/>
      <c r="J107" s="165"/>
      <c r="K107" s="11"/>
    </row>
    <row r="108" spans="1:11" ht="12">
      <c r="A108" s="11"/>
      <c r="B108" s="162"/>
      <c r="C108" s="123"/>
      <c r="D108" s="142"/>
      <c r="E108" s="143"/>
      <c r="F108" s="144"/>
      <c r="G108" s="145"/>
      <c r="H108" s="146"/>
      <c r="I108" s="147"/>
      <c r="J108" s="165"/>
      <c r="K108" s="11"/>
    </row>
    <row r="109" spans="1:11" ht="12.75">
      <c r="A109" s="11"/>
      <c r="B109" s="162"/>
      <c r="C109" s="123"/>
      <c r="D109" s="112" t="s">
        <v>68</v>
      </c>
      <c r="E109" s="120" t="s">
        <v>102</v>
      </c>
      <c r="F109" s="120" t="s">
        <v>110</v>
      </c>
      <c r="G109" s="11"/>
      <c r="H109" s="11"/>
      <c r="I109" s="11"/>
      <c r="J109" s="169"/>
      <c r="K109" s="11"/>
    </row>
    <row r="110" spans="1:11" ht="12">
      <c r="A110" s="1"/>
      <c r="B110" s="170"/>
      <c r="C110" s="123">
        <v>16</v>
      </c>
      <c r="D110" s="123" t="s">
        <v>103</v>
      </c>
      <c r="E110" s="124"/>
      <c r="F110" s="125" t="s">
        <v>206</v>
      </c>
      <c r="G110" s="126" t="s">
        <v>104</v>
      </c>
      <c r="H110" s="127">
        <f>6*2</f>
        <v>12</v>
      </c>
      <c r="I110" s="128">
        <v>0</v>
      </c>
      <c r="J110" s="164">
        <f>ROUND(I110*H110,2)</f>
        <v>0</v>
      </c>
      <c r="K110" s="151"/>
    </row>
    <row r="111" spans="1:11" ht="24">
      <c r="A111" s="1"/>
      <c r="B111" s="170"/>
      <c r="C111" s="123">
        <v>17</v>
      </c>
      <c r="D111" s="123" t="s">
        <v>103</v>
      </c>
      <c r="E111" s="124"/>
      <c r="F111" s="125" t="s">
        <v>305</v>
      </c>
      <c r="G111" s="126" t="s">
        <v>104</v>
      </c>
      <c r="H111" s="127">
        <v>6</v>
      </c>
      <c r="I111" s="128">
        <v>0</v>
      </c>
      <c r="J111" s="164">
        <f>I111*H111</f>
        <v>0</v>
      </c>
      <c r="K111" s="151"/>
    </row>
    <row r="112" spans="1:11" ht="12">
      <c r="A112" s="1"/>
      <c r="B112" s="170"/>
      <c r="C112" s="123"/>
      <c r="D112" s="123" t="s">
        <v>103</v>
      </c>
      <c r="E112" s="124"/>
      <c r="F112" s="125" t="s">
        <v>224</v>
      </c>
      <c r="G112" s="126" t="s">
        <v>111</v>
      </c>
      <c r="H112" s="127">
        <v>6</v>
      </c>
      <c r="I112" s="128">
        <v>0</v>
      </c>
      <c r="J112" s="164">
        <f>ROUND(I112*H112,2)</f>
        <v>0</v>
      </c>
      <c r="K112" s="149"/>
    </row>
    <row r="113" spans="1:11" ht="12">
      <c r="A113" s="1"/>
      <c r="B113" s="170"/>
      <c r="C113" s="123">
        <v>18</v>
      </c>
      <c r="D113" s="123"/>
      <c r="E113" s="124"/>
      <c r="F113" s="150" t="s">
        <v>262</v>
      </c>
      <c r="G113" s="126" t="s">
        <v>111</v>
      </c>
      <c r="H113" s="127">
        <v>6</v>
      </c>
      <c r="I113" s="128">
        <v>0</v>
      </c>
      <c r="J113" s="164">
        <f>ROUND(I113*H113,2)</f>
        <v>0</v>
      </c>
      <c r="K113" s="149"/>
    </row>
    <row r="114" spans="1:11" ht="12">
      <c r="A114" s="1"/>
      <c r="B114" s="170"/>
      <c r="C114" s="123">
        <v>19</v>
      </c>
      <c r="D114" s="123"/>
      <c r="E114" s="124"/>
      <c r="F114" s="150" t="s">
        <v>249</v>
      </c>
      <c r="G114" s="126" t="s">
        <v>111</v>
      </c>
      <c r="H114" s="127">
        <v>6</v>
      </c>
      <c r="I114" s="128">
        <v>0</v>
      </c>
      <c r="J114" s="164">
        <f>ROUND(I114*H114,2)</f>
        <v>0</v>
      </c>
      <c r="K114" s="149"/>
    </row>
    <row r="115" spans="1:11" ht="12">
      <c r="A115" s="1"/>
      <c r="B115" s="170"/>
      <c r="C115" s="123">
        <v>20</v>
      </c>
      <c r="D115" s="123"/>
      <c r="E115" s="124"/>
      <c r="F115" s="150" t="s">
        <v>257</v>
      </c>
      <c r="G115" s="126" t="s">
        <v>111</v>
      </c>
      <c r="H115" s="127">
        <v>6</v>
      </c>
      <c r="I115" s="128">
        <v>0</v>
      </c>
      <c r="J115" s="164">
        <f>ROUND(I115*H115,2)</f>
        <v>0</v>
      </c>
      <c r="K115" s="149"/>
    </row>
    <row r="116" spans="1:11" ht="24">
      <c r="A116" s="1"/>
      <c r="B116" s="170"/>
      <c r="C116" s="123"/>
      <c r="D116" s="123"/>
      <c r="E116" s="124"/>
      <c r="F116" s="148" t="s">
        <v>185</v>
      </c>
      <c r="G116" s="126"/>
      <c r="H116" s="127"/>
      <c r="I116" s="128"/>
      <c r="J116" s="164"/>
      <c r="K116" s="149"/>
    </row>
    <row r="117" spans="1:11" ht="24">
      <c r="A117" s="1"/>
      <c r="B117" s="170"/>
      <c r="C117" s="123"/>
      <c r="D117" s="123" t="s">
        <v>103</v>
      </c>
      <c r="E117" s="124"/>
      <c r="F117" s="125" t="s">
        <v>270</v>
      </c>
      <c r="G117" s="126"/>
      <c r="H117" s="127"/>
      <c r="I117" s="128"/>
      <c r="J117" s="164"/>
      <c r="K117" s="149"/>
    </row>
    <row r="118" spans="1:11" ht="12.75">
      <c r="A118" s="12"/>
      <c r="B118" s="171"/>
      <c r="C118" s="123"/>
      <c r="D118" s="142"/>
      <c r="E118" s="143"/>
      <c r="F118" s="120" t="s">
        <v>175</v>
      </c>
      <c r="G118" s="145"/>
      <c r="H118" s="146"/>
      <c r="I118" s="147"/>
      <c r="J118" s="165"/>
      <c r="K118" s="12"/>
    </row>
    <row r="119" spans="1:11" ht="12.75">
      <c r="A119" s="12"/>
      <c r="B119" s="171"/>
      <c r="C119" s="123"/>
      <c r="D119" s="142"/>
      <c r="E119" s="143"/>
      <c r="F119" s="120" t="s">
        <v>194</v>
      </c>
      <c r="G119" s="145"/>
      <c r="H119" s="146"/>
      <c r="I119" s="147"/>
      <c r="J119" s="165"/>
      <c r="K119" s="12"/>
    </row>
    <row r="120" spans="3:10" ht="24">
      <c r="C120" s="123">
        <v>21</v>
      </c>
      <c r="D120" s="123" t="s">
        <v>103</v>
      </c>
      <c r="E120" s="124"/>
      <c r="F120" s="125" t="s">
        <v>195</v>
      </c>
      <c r="G120" s="126" t="s">
        <v>111</v>
      </c>
      <c r="H120" s="127">
        <v>6</v>
      </c>
      <c r="I120" s="128">
        <v>0</v>
      </c>
      <c r="J120" s="164">
        <f>ROUND(I120*H120,2)</f>
        <v>0</v>
      </c>
    </row>
    <row r="121" spans="3:10" ht="12">
      <c r="C121" s="123">
        <v>22</v>
      </c>
      <c r="D121" s="123" t="s">
        <v>103</v>
      </c>
      <c r="E121" s="124"/>
      <c r="F121" s="125" t="s">
        <v>236</v>
      </c>
      <c r="G121" s="126" t="s">
        <v>111</v>
      </c>
      <c r="H121" s="127">
        <v>6</v>
      </c>
      <c r="I121" s="128">
        <v>0</v>
      </c>
      <c r="J121" s="164">
        <f>ROUND(I121*H121,2)</f>
        <v>0</v>
      </c>
    </row>
    <row r="122" spans="3:10" ht="12">
      <c r="C122" s="123">
        <v>23</v>
      </c>
      <c r="D122" s="123" t="s">
        <v>103</v>
      </c>
      <c r="E122" s="124"/>
      <c r="F122" s="125" t="s">
        <v>263</v>
      </c>
      <c r="G122" s="126" t="s">
        <v>111</v>
      </c>
      <c r="H122" s="127">
        <v>6</v>
      </c>
      <c r="I122" s="128">
        <v>0</v>
      </c>
      <c r="J122" s="164">
        <f>ROUND(I122*H122,2)</f>
        <v>0</v>
      </c>
    </row>
  </sheetData>
  <mergeCells count="8">
    <mergeCell ref="E72:H72"/>
    <mergeCell ref="E74:H74"/>
    <mergeCell ref="E39:H39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Volštátová Iva, Ing.</dc:creator>
  <cp:keywords/>
  <dc:description/>
  <cp:lastModifiedBy>Jana Ďuranová</cp:lastModifiedBy>
  <cp:lastPrinted>2023-04-28T13:57:27Z</cp:lastPrinted>
  <dcterms:created xsi:type="dcterms:W3CDTF">2023-04-26T11:22:16Z</dcterms:created>
  <dcterms:modified xsi:type="dcterms:W3CDTF">2023-10-04T07:28:33Z</dcterms:modified>
  <cp:category/>
  <cp:version/>
  <cp:contentType/>
  <cp:contentStatus/>
</cp:coreProperties>
</file>