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MR\201102 Nemocnice Nymburk vrátnice\"/>
    </mc:Choice>
  </mc:AlternateContent>
  <xr:revisionPtr revIDLastSave="0" documentId="13_ncr:1_{0EC4EBE7-4834-4EF4-A223-DCFCD4265645}" xr6:coauthVersionLast="45" xr6:coauthVersionMax="45" xr10:uidLastSave="{00000000-0000-0000-0000-000000000000}"/>
  <bookViews>
    <workbookView xWindow="22932" yWindow="-108" windowWidth="23256" windowHeight="12576" xr2:uid="{00000000-000D-0000-FFFF-FFFF00000000}"/>
  </bookViews>
  <sheets>
    <sheet name="Rekapitulace stavby" sheetId="1" r:id="rId1"/>
    <sheet name="01 - Stavební část" sheetId="2" r:id="rId2"/>
    <sheet name="02 - Zdravotechnika" sheetId="3" r:id="rId3"/>
    <sheet name="03 - Vytápění" sheetId="4" r:id="rId4"/>
    <sheet name="04 - Elektroinstalace" sheetId="5" r:id="rId5"/>
    <sheet name="05 - VZT" sheetId="6" r:id="rId6"/>
    <sheet name="06 - Interiérové vybavení" sheetId="7" r:id="rId7"/>
    <sheet name="07 - VRN" sheetId="8" r:id="rId8"/>
    <sheet name="Pokyny pro vyplnění" sheetId="9" r:id="rId9"/>
  </sheets>
  <definedNames>
    <definedName name="_xlnm._FilterDatabase" localSheetId="1" hidden="1">'01 - Stavební část'!$C$92:$K$599</definedName>
    <definedName name="_xlnm._FilterDatabase" localSheetId="2" hidden="1">'02 - Zdravotechnika'!$C$93:$K$320</definedName>
    <definedName name="_xlnm._FilterDatabase" localSheetId="3" hidden="1">'03 - Vytápění'!$C$91:$K$186</definedName>
    <definedName name="_xlnm._FilterDatabase" localSheetId="4" hidden="1">'04 - Elektroinstalace'!$C$88:$K$253</definedName>
    <definedName name="_xlnm._FilterDatabase" localSheetId="5" hidden="1">'05 - VZT'!$C$87:$K$167</definedName>
    <definedName name="_xlnm._FilterDatabase" localSheetId="6" hidden="1">'06 - Interiérové vybavení'!$C$81:$K$92</definedName>
    <definedName name="_xlnm._FilterDatabase" localSheetId="7" hidden="1">'07 - VRN'!$C$81:$K$89</definedName>
    <definedName name="_xlnm.Print_Titles" localSheetId="1">'01 - Stavební část'!$92:$92</definedName>
    <definedName name="_xlnm.Print_Titles" localSheetId="2">'02 - Zdravotechnika'!$93:$93</definedName>
    <definedName name="_xlnm.Print_Titles" localSheetId="3">'03 - Vytápění'!$91:$91</definedName>
    <definedName name="_xlnm.Print_Titles" localSheetId="4">'04 - Elektroinstalace'!$88:$88</definedName>
    <definedName name="_xlnm.Print_Titles" localSheetId="5">'05 - VZT'!$87:$87</definedName>
    <definedName name="_xlnm.Print_Titles" localSheetId="6">'06 - Interiérové vybavení'!$81:$81</definedName>
    <definedName name="_xlnm.Print_Titles" localSheetId="7">'07 - VRN'!$81:$81</definedName>
    <definedName name="_xlnm.Print_Titles" localSheetId="0">'Rekapitulace stavby'!$52:$52</definedName>
    <definedName name="_xlnm.Print_Area" localSheetId="1">'01 - Stavební část'!$C$4:$J$39,'01 - Stavební část'!$C$45:$J$74,'01 - Stavební část'!$C$80:$K$599</definedName>
    <definedName name="_xlnm.Print_Area" localSheetId="2">'02 - Zdravotechnika'!$C$4:$J$39,'02 - Zdravotechnika'!$C$45:$J$75,'02 - Zdravotechnika'!$C$81:$K$320</definedName>
    <definedName name="_xlnm.Print_Area" localSheetId="3">'03 - Vytápění'!$C$4:$J$39,'03 - Vytápění'!$C$45:$J$73,'03 - Vytápění'!$C$79:$K$189</definedName>
    <definedName name="_xlnm.Print_Area" localSheetId="4">'04 - Elektroinstalace'!$C$4:$J$39,'04 - Elektroinstalace'!$C$45:$J$70,'04 - Elektroinstalace'!$C$76:$K$253</definedName>
    <definedName name="_xlnm.Print_Area" localSheetId="5">'05 - VZT'!$C$4:$J$39,'05 - VZT'!$C$45:$J$69,'05 - VZT'!$C$75:$K$167</definedName>
    <definedName name="_xlnm.Print_Area" localSheetId="6">'06 - Interiérové vybavení'!$C$4:$J$39,'06 - Interiérové vybavení'!$C$45:$J$63,'06 - Interiérové vybavení'!$C$69:$K$92</definedName>
    <definedName name="_xlnm.Print_Area" localSheetId="7">'07 - VRN'!$C$4:$J$39,'07 - VRN'!$C$45:$J$63,'07 - VRN'!$C$69:$K$89</definedName>
    <definedName name="_xlnm.Print_Area" localSheetId="8">'Pokyny pro vyplnění'!$B$2:$K$71,'Pokyny pro vyplnění'!$B$74:$K$118,'Pokyny pro vyplnění'!$B$121:$K$161,'Pokyny pro vyplnění'!$B$164:$K$218</definedName>
    <definedName name="_xlnm.Print_Area" localSheetId="0">'Rekapitulace stavby'!$D$4:$AO$36,'Rekapitulace stavby'!$C$42:$AQ$62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34" i="4" l="1"/>
  <c r="BI134" i="4"/>
  <c r="BH134" i="4"/>
  <c r="BG134" i="4"/>
  <c r="BF134" i="4"/>
  <c r="T134" i="4"/>
  <c r="R134" i="4"/>
  <c r="P134" i="4"/>
  <c r="J134" i="4"/>
  <c r="BE134" i="4" s="1"/>
  <c r="BI137" i="4"/>
  <c r="BH137" i="4"/>
  <c r="BG137" i="4"/>
  <c r="BF137" i="4"/>
  <c r="BI135" i="4"/>
  <c r="BH135" i="4"/>
  <c r="BG135" i="4"/>
  <c r="BF135" i="4"/>
  <c r="BI132" i="4"/>
  <c r="BH132" i="4"/>
  <c r="BG132" i="4"/>
  <c r="BF132" i="4"/>
  <c r="P132" i="4"/>
  <c r="J132" i="4"/>
  <c r="BE132" i="4" s="1"/>
  <c r="T132" i="4"/>
  <c r="BI130" i="4"/>
  <c r="BH130" i="4"/>
  <c r="BG130" i="4"/>
  <c r="BF130" i="4"/>
  <c r="BK187" i="4"/>
  <c r="BI187" i="4"/>
  <c r="BH187" i="4"/>
  <c r="BG187" i="4"/>
  <c r="BF187" i="4"/>
  <c r="T187" i="4"/>
  <c r="R187" i="4"/>
  <c r="P187" i="4"/>
  <c r="J187" i="4"/>
  <c r="BE187" i="4" s="1"/>
  <c r="R132" i="4" l="1"/>
  <c r="BK132" i="4"/>
  <c r="J130" i="4"/>
  <c r="H135" i="4" s="1"/>
  <c r="H137" i="4" s="1"/>
  <c r="P130" i="4"/>
  <c r="BK130" i="4"/>
  <c r="R130" i="4"/>
  <c r="T130" i="4"/>
  <c r="H596" i="2"/>
  <c r="H592" i="2"/>
  <c r="H586" i="2"/>
  <c r="H585" i="2"/>
  <c r="H576" i="2"/>
  <c r="H578" i="2"/>
  <c r="BE130" i="4" l="1"/>
  <c r="H579" i="2"/>
  <c r="H573" i="2" s="1"/>
  <c r="H590" i="2" s="1"/>
  <c r="H581" i="2" l="1"/>
  <c r="H570" i="2" l="1"/>
  <c r="H559" i="2"/>
  <c r="H557" i="2" s="1"/>
  <c r="H560" i="2"/>
  <c r="H563" i="2"/>
  <c r="H550" i="2"/>
  <c r="H549" i="2"/>
  <c r="H469" i="2"/>
  <c r="H480" i="2"/>
  <c r="H479" i="2"/>
  <c r="H478" i="2"/>
  <c r="H477" i="2"/>
  <c r="H481" i="2" s="1"/>
  <c r="H474" i="2"/>
  <c r="H473" i="2"/>
  <c r="H472" i="2"/>
  <c r="H471" i="2"/>
  <c r="H470" i="2"/>
  <c r="H531" i="2"/>
  <c r="H529" i="2"/>
  <c r="H523" i="2"/>
  <c r="H521" i="2"/>
  <c r="H511" i="2"/>
  <c r="H513" i="2"/>
  <c r="H499" i="2"/>
  <c r="H498" i="2"/>
  <c r="H497" i="2"/>
  <c r="H496" i="2"/>
  <c r="H493" i="2"/>
  <c r="H492" i="2"/>
  <c r="H491" i="2"/>
  <c r="H490" i="2"/>
  <c r="H489" i="2"/>
  <c r="H488" i="2"/>
  <c r="H436" i="2"/>
  <c r="H434" i="2"/>
  <c r="H423" i="2"/>
  <c r="H425" i="2"/>
  <c r="H412" i="2"/>
  <c r="H410" i="2"/>
  <c r="BK402" i="2"/>
  <c r="BI402" i="2"/>
  <c r="BH402" i="2"/>
  <c r="BG402" i="2"/>
  <c r="BF402" i="2"/>
  <c r="T402" i="2"/>
  <c r="R402" i="2"/>
  <c r="P402" i="2"/>
  <c r="J402" i="2"/>
  <c r="BE402" i="2" s="1"/>
  <c r="H390" i="2"/>
  <c r="H392" i="2"/>
  <c r="H381" i="2"/>
  <c r="H379" i="2"/>
  <c r="H368" i="2"/>
  <c r="H361" i="2"/>
  <c r="H359" i="2"/>
  <c r="H315" i="2"/>
  <c r="T315" i="2" s="1"/>
  <c r="BI315" i="2"/>
  <c r="BH315" i="2"/>
  <c r="BG315" i="2"/>
  <c r="BF315" i="2"/>
  <c r="H305" i="2"/>
  <c r="H311" i="2"/>
  <c r="H321" i="2"/>
  <c r="H327" i="2"/>
  <c r="H344" i="2"/>
  <c r="H341" i="2" s="1"/>
  <c r="H293" i="2"/>
  <c r="H292" i="2"/>
  <c r="H290" i="2"/>
  <c r="BI286" i="2"/>
  <c r="BH286" i="2"/>
  <c r="BG286" i="2"/>
  <c r="BF286" i="2"/>
  <c r="H275" i="2"/>
  <c r="H273" i="2"/>
  <c r="H258" i="2"/>
  <c r="H260" i="2"/>
  <c r="BI266" i="2"/>
  <c r="BH266" i="2"/>
  <c r="BG266" i="2"/>
  <c r="BF266" i="2"/>
  <c r="BK262" i="2"/>
  <c r="BI262" i="2"/>
  <c r="BH262" i="2"/>
  <c r="BG262" i="2"/>
  <c r="BF262" i="2"/>
  <c r="T262" i="2"/>
  <c r="R262" i="2"/>
  <c r="P262" i="2"/>
  <c r="J262" i="2"/>
  <c r="BE262" i="2" s="1"/>
  <c r="BI254" i="2"/>
  <c r="BH254" i="2"/>
  <c r="BG254" i="2"/>
  <c r="BF254" i="2"/>
  <c r="T135" i="4" l="1"/>
  <c r="R135" i="4"/>
  <c r="BK135" i="4"/>
  <c r="P135" i="4"/>
  <c r="J135" i="4"/>
  <c r="BE135" i="4" s="1"/>
  <c r="H514" i="2"/>
  <c r="H551" i="2"/>
  <c r="H532" i="2"/>
  <c r="H503" i="2"/>
  <c r="H475" i="2"/>
  <c r="H482" i="2" s="1"/>
  <c r="H500" i="2"/>
  <c r="H494" i="2"/>
  <c r="H437" i="2"/>
  <c r="H382" i="2"/>
  <c r="H393" i="2"/>
  <c r="H386" i="2" s="1"/>
  <c r="H362" i="2"/>
  <c r="BK315" i="2"/>
  <c r="R315" i="2"/>
  <c r="J315" i="2"/>
  <c r="BE315" i="2" s="1"/>
  <c r="P315" i="2"/>
  <c r="H294" i="2"/>
  <c r="H286" i="2" s="1"/>
  <c r="T286" i="2" s="1"/>
  <c r="H276" i="2"/>
  <c r="H261" i="2"/>
  <c r="H254" i="2" s="1"/>
  <c r="H266" i="2" s="1"/>
  <c r="P266" i="2" s="1"/>
  <c r="BK137" i="4" l="1"/>
  <c r="BK129" i="4" s="1"/>
  <c r="J129" i="4" s="1"/>
  <c r="P137" i="4"/>
  <c r="P129" i="4" s="1"/>
  <c r="J137" i="4"/>
  <c r="BE137" i="4" s="1"/>
  <c r="T137" i="4"/>
  <c r="T129" i="4" s="1"/>
  <c r="R137" i="4"/>
  <c r="R129" i="4" s="1"/>
  <c r="H501" i="2"/>
  <c r="H297" i="2"/>
  <c r="H295" i="2" s="1"/>
  <c r="R286" i="2"/>
  <c r="P286" i="2"/>
  <c r="BK286" i="2"/>
  <c r="P254" i="2"/>
  <c r="J286" i="2"/>
  <c r="J254" i="2"/>
  <c r="BE254" i="2" s="1"/>
  <c r="BK254" i="2"/>
  <c r="BK266" i="2"/>
  <c r="J266" i="2"/>
  <c r="BE266" i="2" s="1"/>
  <c r="T266" i="2"/>
  <c r="R266" i="2"/>
  <c r="R254" i="2"/>
  <c r="H265" i="2"/>
  <c r="T254" i="2"/>
  <c r="J67" i="4" l="1"/>
  <c r="BE286" i="2"/>
  <c r="H173" i="2" l="1"/>
  <c r="H170" i="2"/>
  <c r="H180" i="2"/>
  <c r="H176" i="2"/>
  <c r="F164" i="2"/>
  <c r="H250" i="2"/>
  <c r="H237" i="2"/>
  <c r="H233" i="2"/>
  <c r="H232" i="2"/>
  <c r="H231" i="2"/>
  <c r="H230" i="2"/>
  <c r="H227" i="2"/>
  <c r="H223" i="2"/>
  <c r="H226" i="2"/>
  <c r="H225" i="2"/>
  <c r="H224" i="2"/>
  <c r="H213" i="2"/>
  <c r="H211" i="2"/>
  <c r="H218" i="2"/>
  <c r="H215" i="2" s="1"/>
  <c r="P215" i="2" s="1"/>
  <c r="BI215" i="2"/>
  <c r="BH215" i="2"/>
  <c r="BG215" i="2"/>
  <c r="BF215" i="2"/>
  <c r="H204" i="2"/>
  <c r="H206" i="2"/>
  <c r="H164" i="2" s="1"/>
  <c r="H198" i="2"/>
  <c r="H196" i="2"/>
  <c r="H191" i="2"/>
  <c r="H189" i="2"/>
  <c r="H162" i="2" s="1"/>
  <c r="H454" i="2"/>
  <c r="H452" i="2"/>
  <c r="H157" i="2"/>
  <c r="H143" i="2"/>
  <c r="H145" i="2"/>
  <c r="H153" i="2"/>
  <c r="H151" i="2"/>
  <c r="H131" i="2"/>
  <c r="H137" i="2"/>
  <c r="H135" i="2"/>
  <c r="H128" i="2"/>
  <c r="H123" i="2"/>
  <c r="H124" i="2" s="1"/>
  <c r="H125" i="2" s="1"/>
  <c r="H121" i="2" s="1"/>
  <c r="T121" i="2" s="1"/>
  <c r="H117" i="2"/>
  <c r="H118" i="2"/>
  <c r="BI121" i="2"/>
  <c r="BH121" i="2"/>
  <c r="BG121" i="2"/>
  <c r="BF121" i="2"/>
  <c r="BI115" i="2"/>
  <c r="BH115" i="2"/>
  <c r="BG115" i="2"/>
  <c r="BF115" i="2"/>
  <c r="H107" i="2"/>
  <c r="H106" i="2"/>
  <c r="H105" i="2"/>
  <c r="H96" i="2"/>
  <c r="R96" i="2" s="1"/>
  <c r="BI96" i="2"/>
  <c r="BH96" i="2"/>
  <c r="BG96" i="2"/>
  <c r="BF96" i="2"/>
  <c r="H233" i="5"/>
  <c r="H230" i="5"/>
  <c r="H228" i="5"/>
  <c r="H229" i="5"/>
  <c r="H224" i="5"/>
  <c r="H227" i="5"/>
  <c r="H222" i="5"/>
  <c r="H223" i="5"/>
  <c r="H218" i="5"/>
  <c r="H200" i="5"/>
  <c r="H197" i="5"/>
  <c r="H187" i="5"/>
  <c r="H182" i="5"/>
  <c r="H178" i="5"/>
  <c r="T178" i="5" s="1"/>
  <c r="BK178" i="5"/>
  <c r="BI178" i="5"/>
  <c r="BH178" i="5"/>
  <c r="BG178" i="5"/>
  <c r="BF178" i="5"/>
  <c r="P178" i="5"/>
  <c r="J178" i="5"/>
  <c r="BE178" i="5" s="1"/>
  <c r="BI175" i="5"/>
  <c r="BH175" i="5"/>
  <c r="BG175" i="5"/>
  <c r="BF175" i="5"/>
  <c r="H175" i="5"/>
  <c r="J175" i="5" s="1"/>
  <c r="BE175" i="5" s="1"/>
  <c r="BK173" i="5"/>
  <c r="BI173" i="5"/>
  <c r="BH173" i="5"/>
  <c r="BG173" i="5"/>
  <c r="BF173" i="5"/>
  <c r="T173" i="5"/>
  <c r="R173" i="5"/>
  <c r="P173" i="5"/>
  <c r="J173" i="5"/>
  <c r="BE173" i="5" s="1"/>
  <c r="BI170" i="5"/>
  <c r="BH170" i="5"/>
  <c r="BG170" i="5"/>
  <c r="BF170" i="5"/>
  <c r="T170" i="5"/>
  <c r="R170" i="5"/>
  <c r="H170" i="5"/>
  <c r="BK170" i="5" s="1"/>
  <c r="H455" i="2" l="1"/>
  <c r="H448" i="2" s="1"/>
  <c r="H234" i="2"/>
  <c r="H207" i="2"/>
  <c r="H200" i="2" s="1"/>
  <c r="H228" i="2"/>
  <c r="H154" i="2"/>
  <c r="H147" i="2" s="1"/>
  <c r="H199" i="2"/>
  <c r="R215" i="2"/>
  <c r="T215" i="2"/>
  <c r="J215" i="2"/>
  <c r="BE215" i="2" s="1"/>
  <c r="BK215" i="2"/>
  <c r="H108" i="2"/>
  <c r="H119" i="2"/>
  <c r="H120" i="2" s="1"/>
  <c r="H115" i="2" s="1"/>
  <c r="BK115" i="2" s="1"/>
  <c r="H138" i="2"/>
  <c r="J121" i="2"/>
  <c r="BE121" i="2" s="1"/>
  <c r="BK121" i="2"/>
  <c r="P121" i="2"/>
  <c r="R121" i="2"/>
  <c r="J96" i="2"/>
  <c r="BE96" i="2" s="1"/>
  <c r="BK96" i="2"/>
  <c r="T96" i="2"/>
  <c r="P96" i="2"/>
  <c r="R178" i="5"/>
  <c r="BK175" i="5"/>
  <c r="R175" i="5"/>
  <c r="P175" i="5"/>
  <c r="T175" i="5"/>
  <c r="J170" i="5"/>
  <c r="BE170" i="5" s="1"/>
  <c r="P170" i="5"/>
  <c r="H165" i="5"/>
  <c r="H157" i="5"/>
  <c r="H159" i="5"/>
  <c r="F159" i="5"/>
  <c r="H154" i="5"/>
  <c r="H156" i="5"/>
  <c r="F156" i="5"/>
  <c r="H152" i="5"/>
  <c r="H153" i="5"/>
  <c r="H149" i="5"/>
  <c r="H151" i="5"/>
  <c r="F151" i="5"/>
  <c r="H144" i="5"/>
  <c r="H148" i="5" s="1"/>
  <c r="H147" i="5" s="1"/>
  <c r="F146" i="5"/>
  <c r="H142" i="5"/>
  <c r="H143" i="5"/>
  <c r="H139" i="5"/>
  <c r="H141" i="5"/>
  <c r="F141" i="5"/>
  <c r="H138" i="5"/>
  <c r="H135" i="5"/>
  <c r="H137" i="5"/>
  <c r="H134" i="5"/>
  <c r="H131" i="5"/>
  <c r="F133" i="5"/>
  <c r="H129" i="5"/>
  <c r="H130" i="5"/>
  <c r="H126" i="5"/>
  <c r="H118" i="5"/>
  <c r="H115" i="5"/>
  <c r="H117" i="5"/>
  <c r="H113" i="5"/>
  <c r="H110" i="5"/>
  <c r="H112" i="5"/>
  <c r="H108" i="5"/>
  <c r="H104" i="5"/>
  <c r="H106" i="5"/>
  <c r="F106" i="5"/>
  <c r="H101" i="5"/>
  <c r="H103" i="5"/>
  <c r="H96" i="5"/>
  <c r="H99" i="5"/>
  <c r="H92" i="5"/>
  <c r="H273" i="3"/>
  <c r="H277" i="3"/>
  <c r="H281" i="3"/>
  <c r="H250" i="3"/>
  <c r="H237" i="3"/>
  <c r="H235" i="3" s="1"/>
  <c r="H229" i="3"/>
  <c r="H223" i="3"/>
  <c r="H192" i="3"/>
  <c r="H195" i="3"/>
  <c r="H198" i="3"/>
  <c r="H196" i="3" s="1"/>
  <c r="R196" i="3" s="1"/>
  <c r="BI203" i="3"/>
  <c r="BH203" i="3"/>
  <c r="BG203" i="3"/>
  <c r="BF203" i="3"/>
  <c r="BI196" i="3"/>
  <c r="BH196" i="3"/>
  <c r="BG196" i="3"/>
  <c r="BF196" i="3"/>
  <c r="H184" i="3"/>
  <c r="H182" i="3" s="1"/>
  <c r="H178" i="3"/>
  <c r="H170" i="3"/>
  <c r="H169" i="3"/>
  <c r="H140" i="3"/>
  <c r="H138" i="3"/>
  <c r="H121" i="3" s="1"/>
  <c r="H134" i="3"/>
  <c r="H120" i="3" s="1"/>
  <c r="H132" i="3"/>
  <c r="H118" i="3" s="1"/>
  <c r="H235" i="2" l="1"/>
  <c r="H219" i="2" s="1"/>
  <c r="R115" i="2"/>
  <c r="T115" i="2"/>
  <c r="P115" i="2"/>
  <c r="J115" i="2"/>
  <c r="BE115" i="2" s="1"/>
  <c r="H165" i="3"/>
  <c r="H206" i="3"/>
  <c r="H203" i="3"/>
  <c r="T203" i="3" s="1"/>
  <c r="P203" i="3"/>
  <c r="R203" i="3"/>
  <c r="J196" i="3"/>
  <c r="BE196" i="3" s="1"/>
  <c r="BK196" i="3"/>
  <c r="T196" i="3"/>
  <c r="P196" i="3"/>
  <c r="H135" i="3"/>
  <c r="H115" i="3"/>
  <c r="BK203" i="3" l="1"/>
  <c r="J203" i="3"/>
  <c r="BE203" i="3" s="1"/>
  <c r="H111" i="3" l="1"/>
  <c r="H103" i="3"/>
  <c r="H97" i="3"/>
  <c r="H142" i="4"/>
  <c r="H143" i="4"/>
  <c r="P143" i="4" s="1"/>
  <c r="BI143" i="4"/>
  <c r="BH143" i="4"/>
  <c r="BG143" i="4"/>
  <c r="BF143" i="4"/>
  <c r="J143" i="4" l="1"/>
  <c r="BE143" i="4" s="1"/>
  <c r="BK143" i="4"/>
  <c r="R143" i="4"/>
  <c r="T143" i="4"/>
  <c r="H105" i="4" l="1"/>
  <c r="H156" i="6" l="1"/>
  <c r="H155" i="6"/>
  <c r="H153" i="6"/>
  <c r="H151" i="6"/>
  <c r="H139" i="6"/>
  <c r="H136" i="6"/>
  <c r="BK135" i="6"/>
  <c r="BI135" i="6"/>
  <c r="BH135" i="6"/>
  <c r="BG135" i="6"/>
  <c r="BF135" i="6"/>
  <c r="T135" i="6"/>
  <c r="R135" i="6"/>
  <c r="P135" i="6"/>
  <c r="J135" i="6"/>
  <c r="BE135" i="6" s="1"/>
  <c r="BK132" i="6"/>
  <c r="BI132" i="6"/>
  <c r="BH132" i="6"/>
  <c r="BG132" i="6"/>
  <c r="BF132" i="6"/>
  <c r="T132" i="6"/>
  <c r="R132" i="6"/>
  <c r="P132" i="6"/>
  <c r="J132" i="6"/>
  <c r="BE132" i="6" s="1"/>
  <c r="H124" i="6" l="1"/>
  <c r="H118" i="6"/>
  <c r="H114" i="6"/>
  <c r="H109" i="6"/>
  <c r="H96" i="6"/>
  <c r="H105" i="6"/>
  <c r="H101" i="6"/>
  <c r="H94" i="6" s="1"/>
  <c r="F96" i="6"/>
  <c r="H567" i="2" l="1"/>
  <c r="H540" i="2"/>
  <c r="H533" i="2" s="1"/>
  <c r="H525" i="2"/>
  <c r="H441" i="2"/>
  <c r="H447" i="2" s="1"/>
  <c r="H429" i="2"/>
  <c r="H365" i="2"/>
  <c r="H301" i="2"/>
  <c r="H298" i="2" s="1"/>
  <c r="H247" i="2"/>
  <c r="H242" i="2"/>
  <c r="H246" i="2"/>
  <c r="H244" i="2" s="1"/>
  <c r="H241" i="2"/>
  <c r="H239" i="2" s="1"/>
  <c r="H193" i="2"/>
  <c r="H168" i="2"/>
  <c r="H155" i="2"/>
  <c r="H113" i="2"/>
  <c r="H112" i="2"/>
  <c r="H129" i="2"/>
  <c r="H126" i="2"/>
  <c r="H207" i="3"/>
  <c r="H211" i="3" s="1"/>
  <c r="H193" i="3"/>
  <c r="H190" i="3"/>
  <c r="H174" i="3"/>
  <c r="H166" i="3"/>
  <c r="H162" i="3"/>
  <c r="H158" i="3"/>
  <c r="H145" i="3"/>
  <c r="H149" i="3" s="1"/>
  <c r="H147" i="3" s="1"/>
  <c r="H144" i="3"/>
  <c r="H142" i="3" s="1"/>
  <c r="H122" i="3"/>
  <c r="H136" i="3"/>
  <c r="H302" i="3"/>
  <c r="H308" i="3" s="1"/>
  <c r="H295" i="3"/>
  <c r="H285" i="3"/>
  <c r="H251" i="3"/>
  <c r="BK251" i="3" s="1"/>
  <c r="BI257" i="3"/>
  <c r="BH257" i="3"/>
  <c r="BG257" i="3"/>
  <c r="BF257" i="3"/>
  <c r="BI251" i="3"/>
  <c r="BH251" i="3"/>
  <c r="BG251" i="3"/>
  <c r="BF251" i="3"/>
  <c r="H258" i="3"/>
  <c r="H269" i="3" s="1"/>
  <c r="H226" i="3"/>
  <c r="H234" i="3" s="1"/>
  <c r="H232" i="3" s="1"/>
  <c r="H240" i="3" s="1"/>
  <c r="H239" i="5"/>
  <c r="H242" i="5" s="1"/>
  <c r="H234" i="5"/>
  <c r="H237" i="5" s="1"/>
  <c r="H201" i="5"/>
  <c r="H204" i="5" s="1"/>
  <c r="H193" i="5"/>
  <c r="H196" i="5" s="1"/>
  <c r="H189" i="5"/>
  <c r="H192" i="5" s="1"/>
  <c r="H188" i="5"/>
  <c r="H180" i="5"/>
  <c r="H183" i="5" s="1"/>
  <c r="H160" i="5"/>
  <c r="H163" i="5" s="1"/>
  <c r="H572" i="2" l="1"/>
  <c r="H571" i="2" s="1"/>
  <c r="H587" i="2"/>
  <c r="H215" i="3"/>
  <c r="H202" i="3"/>
  <c r="H199" i="3" s="1"/>
  <c r="H546" i="2"/>
  <c r="H552" i="2" s="1"/>
  <c r="H212" i="3"/>
  <c r="H216" i="3" s="1"/>
  <c r="H238" i="5"/>
  <c r="H185" i="5"/>
  <c r="H150" i="3"/>
  <c r="H130" i="3"/>
  <c r="H598" i="2"/>
  <c r="H524" i="2"/>
  <c r="H517" i="2" s="1"/>
  <c r="H507" i="2"/>
  <c r="H515" i="2" s="1"/>
  <c r="H430" i="2"/>
  <c r="H440" i="2" s="1"/>
  <c r="H438" i="2" s="1"/>
  <c r="H426" i="2"/>
  <c r="H419" i="2" s="1"/>
  <c r="H375" i="2"/>
  <c r="H413" i="2"/>
  <c r="H406" i="2" s="1"/>
  <c r="H401" i="2"/>
  <c r="H394" i="2" s="1"/>
  <c r="H355" i="2"/>
  <c r="H268" i="2"/>
  <c r="H192" i="2"/>
  <c r="H185" i="2" s="1"/>
  <c r="H214" i="2"/>
  <c r="H208" i="2" s="1"/>
  <c r="H165" i="2"/>
  <c r="H159" i="2" s="1"/>
  <c r="H146" i="2"/>
  <c r="H139" i="2" s="1"/>
  <c r="H132" i="2"/>
  <c r="H114" i="2"/>
  <c r="H109" i="2" s="1"/>
  <c r="H102" i="2"/>
  <c r="H309" i="3"/>
  <c r="H257" i="3"/>
  <c r="T251" i="3"/>
  <c r="R251" i="3"/>
  <c r="P251" i="3"/>
  <c r="J251" i="3"/>
  <c r="BE251" i="3" s="1"/>
  <c r="H268" i="3"/>
  <c r="H266" i="3"/>
  <c r="H265" i="3"/>
  <c r="H238" i="3"/>
  <c r="H277" i="2" l="1"/>
  <c r="H588" i="2"/>
  <c r="F372" i="2"/>
  <c r="H372" i="2"/>
  <c r="H369" i="2" s="1"/>
  <c r="H374" i="2" s="1"/>
  <c r="H373" i="2" s="1"/>
  <c r="H166" i="2"/>
  <c r="H167" i="2" s="1"/>
  <c r="H553" i="2"/>
  <c r="H484" i="2"/>
  <c r="H363" i="2"/>
  <c r="H383" i="2"/>
  <c r="H279" i="2"/>
  <c r="J257" i="3"/>
  <c r="BE257" i="3" s="1"/>
  <c r="BK257" i="3"/>
  <c r="P257" i="3"/>
  <c r="R257" i="3"/>
  <c r="T257" i="3"/>
  <c r="H502" i="2" l="1"/>
  <c r="H589" i="2"/>
  <c r="H593" i="2" s="1"/>
  <c r="H582" i="2" s="1"/>
  <c r="H505" i="2"/>
  <c r="H466" i="2"/>
  <c r="H464" i="2"/>
  <c r="H461" i="2"/>
  <c r="H149" i="6"/>
  <c r="H122" i="6"/>
  <c r="H126" i="6" s="1"/>
  <c r="H125" i="6" s="1"/>
  <c r="H107" i="6"/>
  <c r="H93" i="6"/>
  <c r="H91" i="6" s="1"/>
  <c r="H140" i="6" s="1"/>
  <c r="H143" i="6" s="1"/>
  <c r="F93" i="6"/>
  <c r="H98" i="6"/>
  <c r="H594" i="2" l="1"/>
  <c r="H595" i="2"/>
  <c r="H152" i="6"/>
  <c r="H154" i="6"/>
  <c r="H112" i="6"/>
  <c r="H110" i="6"/>
  <c r="H115" i="6" s="1"/>
  <c r="H172" i="4" l="1"/>
  <c r="H174" i="4" s="1"/>
  <c r="H168" i="4"/>
  <c r="H160" i="4"/>
  <c r="H156" i="4"/>
  <c r="H162" i="4" s="1"/>
  <c r="H140" i="4" l="1"/>
  <c r="H126" i="4"/>
  <c r="H108" i="4"/>
  <c r="H102" i="4" s="1"/>
  <c r="H99" i="4" s="1"/>
  <c r="H95" i="4"/>
  <c r="H103" i="4" l="1"/>
  <c r="H112" i="4"/>
  <c r="H114" i="4" s="1"/>
  <c r="H116" i="4" s="1"/>
  <c r="H146" i="4"/>
  <c r="H148" i="4" s="1"/>
  <c r="H117" i="4"/>
  <c r="H119" i="4" s="1"/>
  <c r="H121" i="4" s="1"/>
  <c r="H122" i="4"/>
  <c r="H177" i="4" l="1"/>
  <c r="H179" i="4" s="1"/>
  <c r="J37" i="8" l="1"/>
  <c r="J36" i="8"/>
  <c r="AY61" i="1" s="1"/>
  <c r="J35" i="8"/>
  <c r="AX61" i="1" s="1"/>
  <c r="BI88" i="8"/>
  <c r="BH88" i="8"/>
  <c r="BG88" i="8"/>
  <c r="BF88" i="8"/>
  <c r="T88" i="8"/>
  <c r="T87" i="8" s="1"/>
  <c r="R88" i="8"/>
  <c r="R87" i="8" s="1"/>
  <c r="P88" i="8"/>
  <c r="P87" i="8" s="1"/>
  <c r="BI85" i="8"/>
  <c r="BH85" i="8"/>
  <c r="BG85" i="8"/>
  <c r="BF85" i="8"/>
  <c r="T85" i="8"/>
  <c r="T84" i="8" s="1"/>
  <c r="R85" i="8"/>
  <c r="R84" i="8" s="1"/>
  <c r="P85" i="8"/>
  <c r="P84" i="8" s="1"/>
  <c r="J78" i="8"/>
  <c r="F78" i="8"/>
  <c r="F76" i="8"/>
  <c r="E74" i="8"/>
  <c r="J54" i="8"/>
  <c r="F54" i="8"/>
  <c r="F52" i="8"/>
  <c r="E50" i="8"/>
  <c r="J24" i="8"/>
  <c r="E24" i="8"/>
  <c r="J79" i="8" s="1"/>
  <c r="J23" i="8"/>
  <c r="J18" i="8"/>
  <c r="E18" i="8"/>
  <c r="F79" i="8" s="1"/>
  <c r="J17" i="8"/>
  <c r="J12" i="8"/>
  <c r="J76" i="8" s="1"/>
  <c r="E7" i="8"/>
  <c r="E48" i="8" s="1"/>
  <c r="J37" i="7"/>
  <c r="J36" i="7"/>
  <c r="AY60" i="1" s="1"/>
  <c r="J35" i="7"/>
  <c r="AX60" i="1" s="1"/>
  <c r="BI91" i="7"/>
  <c r="BH91" i="7"/>
  <c r="BG91" i="7"/>
  <c r="BF91" i="7"/>
  <c r="BI89" i="7"/>
  <c r="BH89" i="7"/>
  <c r="BG89" i="7"/>
  <c r="BF89" i="7"/>
  <c r="BI87" i="7"/>
  <c r="BH87" i="7"/>
  <c r="BG87" i="7"/>
  <c r="BF87" i="7"/>
  <c r="T87" i="7"/>
  <c r="R87" i="7"/>
  <c r="P87" i="7"/>
  <c r="BI85" i="7"/>
  <c r="BH85" i="7"/>
  <c r="BG85" i="7"/>
  <c r="BF85" i="7"/>
  <c r="T85" i="7"/>
  <c r="R85" i="7"/>
  <c r="P85" i="7"/>
  <c r="J78" i="7"/>
  <c r="F78" i="7"/>
  <c r="F76" i="7"/>
  <c r="E74" i="7"/>
  <c r="J54" i="7"/>
  <c r="F54" i="7"/>
  <c r="F52" i="7"/>
  <c r="E50" i="7"/>
  <c r="J24" i="7"/>
  <c r="E24" i="7"/>
  <c r="J55" i="7" s="1"/>
  <c r="J23" i="7"/>
  <c r="J18" i="7"/>
  <c r="E18" i="7"/>
  <c r="F79" i="7" s="1"/>
  <c r="J17" i="7"/>
  <c r="J12" i="7"/>
  <c r="J76" i="7" s="1"/>
  <c r="E7" i="7"/>
  <c r="E72" i="7" s="1"/>
  <c r="J37" i="6"/>
  <c r="J36" i="6"/>
  <c r="AY59" i="1" s="1"/>
  <c r="J35" i="6"/>
  <c r="AX59" i="1" s="1"/>
  <c r="BI166" i="6"/>
  <c r="BH166" i="6"/>
  <c r="BG166" i="6"/>
  <c r="BF166" i="6"/>
  <c r="T166" i="6"/>
  <c r="R166" i="6"/>
  <c r="P166" i="6"/>
  <c r="BI164" i="6"/>
  <c r="BH164" i="6"/>
  <c r="BG164" i="6"/>
  <c r="BF164" i="6"/>
  <c r="T164" i="6"/>
  <c r="R164" i="6"/>
  <c r="P164" i="6"/>
  <c r="BI161" i="6"/>
  <c r="BH161" i="6"/>
  <c r="BG161" i="6"/>
  <c r="BF161" i="6"/>
  <c r="BI159" i="6"/>
  <c r="BH159" i="6"/>
  <c r="BG159" i="6"/>
  <c r="BF159" i="6"/>
  <c r="BI157" i="6"/>
  <c r="BH157" i="6"/>
  <c r="BG157" i="6"/>
  <c r="BF157" i="6"/>
  <c r="T157" i="6"/>
  <c r="R157" i="6"/>
  <c r="P157" i="6"/>
  <c r="BI156" i="6"/>
  <c r="BH156" i="6"/>
  <c r="BG156" i="6"/>
  <c r="BF156" i="6"/>
  <c r="T156" i="6"/>
  <c r="R156" i="6"/>
  <c r="P156" i="6"/>
  <c r="BI154" i="6"/>
  <c r="BH154" i="6"/>
  <c r="BG154" i="6"/>
  <c r="BF154" i="6"/>
  <c r="T154" i="6"/>
  <c r="R154" i="6"/>
  <c r="P154" i="6"/>
  <c r="BI152" i="6"/>
  <c r="BH152" i="6"/>
  <c r="BG152" i="6"/>
  <c r="BF152" i="6"/>
  <c r="T152" i="6"/>
  <c r="R152" i="6"/>
  <c r="P152" i="6"/>
  <c r="BI149" i="6"/>
  <c r="BH149" i="6"/>
  <c r="BG149" i="6"/>
  <c r="BF149" i="6"/>
  <c r="T149" i="6"/>
  <c r="R149" i="6"/>
  <c r="P149" i="6"/>
  <c r="BI148" i="6"/>
  <c r="BH148" i="6"/>
  <c r="BG148" i="6"/>
  <c r="BF148" i="6"/>
  <c r="T148" i="6"/>
  <c r="R148" i="6"/>
  <c r="P148" i="6"/>
  <c r="BI145" i="6"/>
  <c r="BH145" i="6"/>
  <c r="BG145" i="6"/>
  <c r="BF145" i="6"/>
  <c r="T145" i="6"/>
  <c r="R145" i="6"/>
  <c r="P145" i="6"/>
  <c r="BI143" i="6"/>
  <c r="BH143" i="6"/>
  <c r="BG143" i="6"/>
  <c r="BF143" i="6"/>
  <c r="T143" i="6"/>
  <c r="R143" i="6"/>
  <c r="P143" i="6"/>
  <c r="BI140" i="6"/>
  <c r="BH140" i="6"/>
  <c r="BG140" i="6"/>
  <c r="BF140" i="6"/>
  <c r="T140" i="6"/>
  <c r="R140" i="6"/>
  <c r="P140" i="6"/>
  <c r="BI139" i="6"/>
  <c r="BH139" i="6"/>
  <c r="BG139" i="6"/>
  <c r="BF139" i="6"/>
  <c r="T139" i="6"/>
  <c r="R139" i="6"/>
  <c r="P139" i="6"/>
  <c r="BI136" i="6"/>
  <c r="BH136" i="6"/>
  <c r="BG136" i="6"/>
  <c r="BF136" i="6"/>
  <c r="T136" i="6"/>
  <c r="R136" i="6"/>
  <c r="P136" i="6"/>
  <c r="BI129" i="6"/>
  <c r="BH129" i="6"/>
  <c r="BG129" i="6"/>
  <c r="BF129" i="6"/>
  <c r="BI127" i="6"/>
  <c r="BH127" i="6"/>
  <c r="BG127" i="6"/>
  <c r="BF127" i="6"/>
  <c r="T127" i="6"/>
  <c r="R127" i="6"/>
  <c r="P127" i="6"/>
  <c r="BI125" i="6"/>
  <c r="BH125" i="6"/>
  <c r="BG125" i="6"/>
  <c r="BF125" i="6"/>
  <c r="T125" i="6"/>
  <c r="R125" i="6"/>
  <c r="P125" i="6"/>
  <c r="BI122" i="6"/>
  <c r="BH122" i="6"/>
  <c r="BG122" i="6"/>
  <c r="BF122" i="6"/>
  <c r="T122" i="6"/>
  <c r="R122" i="6"/>
  <c r="P122" i="6"/>
  <c r="BI118" i="6"/>
  <c r="BH118" i="6"/>
  <c r="BG118" i="6"/>
  <c r="BF118" i="6"/>
  <c r="T118" i="6"/>
  <c r="T117" i="6" s="1"/>
  <c r="R118" i="6"/>
  <c r="R117" i="6" s="1"/>
  <c r="P118" i="6"/>
  <c r="P117" i="6" s="1"/>
  <c r="BI115" i="6"/>
  <c r="BH115" i="6"/>
  <c r="BG115" i="6"/>
  <c r="BF115" i="6"/>
  <c r="T115" i="6"/>
  <c r="R115" i="6"/>
  <c r="P115" i="6"/>
  <c r="BI112" i="6"/>
  <c r="BH112" i="6"/>
  <c r="BG112" i="6"/>
  <c r="BF112" i="6"/>
  <c r="T112" i="6"/>
  <c r="R112" i="6"/>
  <c r="P112" i="6"/>
  <c r="BI110" i="6"/>
  <c r="BH110" i="6"/>
  <c r="BG110" i="6"/>
  <c r="BF110" i="6"/>
  <c r="T110" i="6"/>
  <c r="R110" i="6"/>
  <c r="P110" i="6"/>
  <c r="BI107" i="6"/>
  <c r="BH107" i="6"/>
  <c r="BG107" i="6"/>
  <c r="BF107" i="6"/>
  <c r="T107" i="6"/>
  <c r="R107" i="6"/>
  <c r="P107" i="6"/>
  <c r="BI105" i="6"/>
  <c r="BH105" i="6"/>
  <c r="BG105" i="6"/>
  <c r="BF105" i="6"/>
  <c r="T105" i="6"/>
  <c r="R105" i="6"/>
  <c r="P105" i="6"/>
  <c r="BI101" i="6"/>
  <c r="BH101" i="6"/>
  <c r="BG101" i="6"/>
  <c r="BF101" i="6"/>
  <c r="T101" i="6"/>
  <c r="R101" i="6"/>
  <c r="P101" i="6"/>
  <c r="BI98" i="6"/>
  <c r="BH98" i="6"/>
  <c r="BG98" i="6"/>
  <c r="BF98" i="6"/>
  <c r="T98" i="6"/>
  <c r="R98" i="6"/>
  <c r="P98" i="6"/>
  <c r="BI94" i="6"/>
  <c r="BH94" i="6"/>
  <c r="BG94" i="6"/>
  <c r="BF94" i="6"/>
  <c r="T94" i="6"/>
  <c r="R94" i="6"/>
  <c r="P94" i="6"/>
  <c r="BI91" i="6"/>
  <c r="BH91" i="6"/>
  <c r="BG91" i="6"/>
  <c r="BF91" i="6"/>
  <c r="T91" i="6"/>
  <c r="R91" i="6"/>
  <c r="P91" i="6"/>
  <c r="J84" i="6"/>
  <c r="F84" i="6"/>
  <c r="F82" i="6"/>
  <c r="E80" i="6"/>
  <c r="J54" i="6"/>
  <c r="F54" i="6"/>
  <c r="F52" i="6"/>
  <c r="E50" i="6"/>
  <c r="J24" i="6"/>
  <c r="E24" i="6"/>
  <c r="J55" i="6" s="1"/>
  <c r="J23" i="6"/>
  <c r="J18" i="6"/>
  <c r="E18" i="6"/>
  <c r="F85" i="6" s="1"/>
  <c r="J17" i="6"/>
  <c r="J12" i="6"/>
  <c r="J52" i="6" s="1"/>
  <c r="E7" i="6"/>
  <c r="E78" i="6" s="1"/>
  <c r="J37" i="5"/>
  <c r="J36" i="5"/>
  <c r="AY58" i="1" s="1"/>
  <c r="J35" i="5"/>
  <c r="AX58" i="1" s="1"/>
  <c r="BI252" i="5"/>
  <c r="BH252" i="5"/>
  <c r="BG252" i="5"/>
  <c r="BF252" i="5"/>
  <c r="T252" i="5"/>
  <c r="R252" i="5"/>
  <c r="P252" i="5"/>
  <c r="BI250" i="5"/>
  <c r="BH250" i="5"/>
  <c r="BG250" i="5"/>
  <c r="BF250" i="5"/>
  <c r="T250" i="5"/>
  <c r="R250" i="5"/>
  <c r="P250" i="5"/>
  <c r="BI248" i="5"/>
  <c r="BH248" i="5"/>
  <c r="BG248" i="5"/>
  <c r="BF248" i="5"/>
  <c r="T248" i="5"/>
  <c r="R248" i="5"/>
  <c r="P248" i="5"/>
  <c r="BI245" i="5"/>
  <c r="BH245" i="5"/>
  <c r="BG245" i="5"/>
  <c r="BF245" i="5"/>
  <c r="BI243" i="5"/>
  <c r="BH243" i="5"/>
  <c r="BG243" i="5"/>
  <c r="BF243" i="5"/>
  <c r="BI242" i="5"/>
  <c r="BH242" i="5"/>
  <c r="BG242" i="5"/>
  <c r="BF242" i="5"/>
  <c r="T242" i="5"/>
  <c r="R242" i="5"/>
  <c r="P242" i="5"/>
  <c r="BI239" i="5"/>
  <c r="BH239" i="5"/>
  <c r="BG239" i="5"/>
  <c r="BF239" i="5"/>
  <c r="T239" i="5"/>
  <c r="R239" i="5"/>
  <c r="P239" i="5"/>
  <c r="BI238" i="5"/>
  <c r="BH238" i="5"/>
  <c r="BG238" i="5"/>
  <c r="BF238" i="5"/>
  <c r="T238" i="5"/>
  <c r="R238" i="5"/>
  <c r="P238" i="5"/>
  <c r="BI237" i="5"/>
  <c r="BH237" i="5"/>
  <c r="BG237" i="5"/>
  <c r="BF237" i="5"/>
  <c r="T237" i="5"/>
  <c r="R237" i="5"/>
  <c r="P237" i="5"/>
  <c r="BI234" i="5"/>
  <c r="BH234" i="5"/>
  <c r="BG234" i="5"/>
  <c r="BF234" i="5"/>
  <c r="T234" i="5"/>
  <c r="R234" i="5"/>
  <c r="P234" i="5"/>
  <c r="BI233" i="5"/>
  <c r="BH233" i="5"/>
  <c r="BG233" i="5"/>
  <c r="BF233" i="5"/>
  <c r="T233" i="5"/>
  <c r="R233" i="5"/>
  <c r="P233" i="5"/>
  <c r="BI230" i="5"/>
  <c r="BH230" i="5"/>
  <c r="BG230" i="5"/>
  <c r="BF230" i="5"/>
  <c r="T230" i="5"/>
  <c r="R230" i="5"/>
  <c r="P230" i="5"/>
  <c r="BI228" i="5"/>
  <c r="BH228" i="5"/>
  <c r="BG228" i="5"/>
  <c r="BF228" i="5"/>
  <c r="T228" i="5"/>
  <c r="R228" i="5"/>
  <c r="P228" i="5"/>
  <c r="BI224" i="5"/>
  <c r="BH224" i="5"/>
  <c r="BG224" i="5"/>
  <c r="BF224" i="5"/>
  <c r="T224" i="5"/>
  <c r="R224" i="5"/>
  <c r="P224" i="5"/>
  <c r="BI222" i="5"/>
  <c r="BH222" i="5"/>
  <c r="BG222" i="5"/>
  <c r="BF222" i="5"/>
  <c r="T222" i="5"/>
  <c r="R222" i="5"/>
  <c r="P222" i="5"/>
  <c r="BI218" i="5"/>
  <c r="BH218" i="5"/>
  <c r="BG218" i="5"/>
  <c r="BF218" i="5"/>
  <c r="T218" i="5"/>
  <c r="R218" i="5"/>
  <c r="P218" i="5"/>
  <c r="BI215" i="5"/>
  <c r="BH215" i="5"/>
  <c r="BG215" i="5"/>
  <c r="BF215" i="5"/>
  <c r="BI213" i="5"/>
  <c r="BH213" i="5"/>
  <c r="BG213" i="5"/>
  <c r="BF213" i="5"/>
  <c r="BI211" i="5"/>
  <c r="BH211" i="5"/>
  <c r="BG211" i="5"/>
  <c r="BF211" i="5"/>
  <c r="T211" i="5"/>
  <c r="R211" i="5"/>
  <c r="P211" i="5"/>
  <c r="BI208" i="5"/>
  <c r="BH208" i="5"/>
  <c r="BG208" i="5"/>
  <c r="BF208" i="5"/>
  <c r="T208" i="5"/>
  <c r="R208" i="5"/>
  <c r="P208" i="5"/>
  <c r="BI205" i="5"/>
  <c r="BH205" i="5"/>
  <c r="BG205" i="5"/>
  <c r="BF205" i="5"/>
  <c r="T205" i="5"/>
  <c r="R205" i="5"/>
  <c r="P205" i="5"/>
  <c r="BI204" i="5"/>
  <c r="BH204" i="5"/>
  <c r="BG204" i="5"/>
  <c r="BF204" i="5"/>
  <c r="T204" i="5"/>
  <c r="R204" i="5"/>
  <c r="P204" i="5"/>
  <c r="BI201" i="5"/>
  <c r="BH201" i="5"/>
  <c r="BG201" i="5"/>
  <c r="BF201" i="5"/>
  <c r="T201" i="5"/>
  <c r="R201" i="5"/>
  <c r="P201" i="5"/>
  <c r="BI200" i="5"/>
  <c r="BH200" i="5"/>
  <c r="BG200" i="5"/>
  <c r="BF200" i="5"/>
  <c r="T200" i="5"/>
  <c r="R200" i="5"/>
  <c r="P200" i="5"/>
  <c r="BI197" i="5"/>
  <c r="BH197" i="5"/>
  <c r="BG197" i="5"/>
  <c r="BF197" i="5"/>
  <c r="T197" i="5"/>
  <c r="R197" i="5"/>
  <c r="P197" i="5"/>
  <c r="BI196" i="5"/>
  <c r="BH196" i="5"/>
  <c r="BG196" i="5"/>
  <c r="BF196" i="5"/>
  <c r="T196" i="5"/>
  <c r="R196" i="5"/>
  <c r="P196" i="5"/>
  <c r="BI193" i="5"/>
  <c r="BH193" i="5"/>
  <c r="BG193" i="5"/>
  <c r="BF193" i="5"/>
  <c r="T193" i="5"/>
  <c r="R193" i="5"/>
  <c r="P193" i="5"/>
  <c r="BI192" i="5"/>
  <c r="BH192" i="5"/>
  <c r="BG192" i="5"/>
  <c r="BF192" i="5"/>
  <c r="T192" i="5"/>
  <c r="R192" i="5"/>
  <c r="P192" i="5"/>
  <c r="BI189" i="5"/>
  <c r="BH189" i="5"/>
  <c r="BG189" i="5"/>
  <c r="BF189" i="5"/>
  <c r="T189" i="5"/>
  <c r="R189" i="5"/>
  <c r="P189" i="5"/>
  <c r="BI188" i="5"/>
  <c r="BH188" i="5"/>
  <c r="BG188" i="5"/>
  <c r="BF188" i="5"/>
  <c r="T188" i="5"/>
  <c r="R188" i="5"/>
  <c r="P188" i="5"/>
  <c r="BI185" i="5"/>
  <c r="BH185" i="5"/>
  <c r="BG185" i="5"/>
  <c r="BF185" i="5"/>
  <c r="T185" i="5"/>
  <c r="R185" i="5"/>
  <c r="P185" i="5"/>
  <c r="BI183" i="5"/>
  <c r="BH183" i="5"/>
  <c r="BG183" i="5"/>
  <c r="BF183" i="5"/>
  <c r="T183" i="5"/>
  <c r="R183" i="5"/>
  <c r="P183" i="5"/>
  <c r="BI180" i="5"/>
  <c r="BH180" i="5"/>
  <c r="BG180" i="5"/>
  <c r="BF180" i="5"/>
  <c r="T180" i="5"/>
  <c r="R180" i="5"/>
  <c r="P180" i="5"/>
  <c r="BI168" i="5"/>
  <c r="BH168" i="5"/>
  <c r="BG168" i="5"/>
  <c r="BF168" i="5"/>
  <c r="T168" i="5"/>
  <c r="R168" i="5"/>
  <c r="P168" i="5"/>
  <c r="BI165" i="5"/>
  <c r="BH165" i="5"/>
  <c r="BG165" i="5"/>
  <c r="BF165" i="5"/>
  <c r="T165" i="5"/>
  <c r="R165" i="5"/>
  <c r="P165" i="5"/>
  <c r="BI163" i="5"/>
  <c r="BH163" i="5"/>
  <c r="BG163" i="5"/>
  <c r="BF163" i="5"/>
  <c r="T163" i="5"/>
  <c r="R163" i="5"/>
  <c r="P163" i="5"/>
  <c r="BI160" i="5"/>
  <c r="BH160" i="5"/>
  <c r="BG160" i="5"/>
  <c r="BF160" i="5"/>
  <c r="T160" i="5"/>
  <c r="R160" i="5"/>
  <c r="P160" i="5"/>
  <c r="BI157" i="5"/>
  <c r="BH157" i="5"/>
  <c r="BG157" i="5"/>
  <c r="BF157" i="5"/>
  <c r="T157" i="5"/>
  <c r="R157" i="5"/>
  <c r="P157" i="5"/>
  <c r="BI154" i="5"/>
  <c r="BH154" i="5"/>
  <c r="BG154" i="5"/>
  <c r="BF154" i="5"/>
  <c r="T154" i="5"/>
  <c r="R154" i="5"/>
  <c r="P154" i="5"/>
  <c r="BI152" i="5"/>
  <c r="BH152" i="5"/>
  <c r="BG152" i="5"/>
  <c r="BF152" i="5"/>
  <c r="T152" i="5"/>
  <c r="R152" i="5"/>
  <c r="P152" i="5"/>
  <c r="BI149" i="5"/>
  <c r="BH149" i="5"/>
  <c r="BG149" i="5"/>
  <c r="BF149" i="5"/>
  <c r="T149" i="5"/>
  <c r="R149" i="5"/>
  <c r="P149" i="5"/>
  <c r="BI147" i="5"/>
  <c r="BH147" i="5"/>
  <c r="BG147" i="5"/>
  <c r="BF147" i="5"/>
  <c r="T147" i="5"/>
  <c r="R147" i="5"/>
  <c r="P147" i="5"/>
  <c r="BI144" i="5"/>
  <c r="BH144" i="5"/>
  <c r="BG144" i="5"/>
  <c r="BF144" i="5"/>
  <c r="T144" i="5"/>
  <c r="R144" i="5"/>
  <c r="P144" i="5"/>
  <c r="BI142" i="5"/>
  <c r="BH142" i="5"/>
  <c r="BG142" i="5"/>
  <c r="BF142" i="5"/>
  <c r="T142" i="5"/>
  <c r="R142" i="5"/>
  <c r="P142" i="5"/>
  <c r="BI139" i="5"/>
  <c r="BH139" i="5"/>
  <c r="BG139" i="5"/>
  <c r="BF139" i="5"/>
  <c r="T139" i="5"/>
  <c r="R139" i="5"/>
  <c r="P139" i="5"/>
  <c r="BI138" i="5"/>
  <c r="BH138" i="5"/>
  <c r="BG138" i="5"/>
  <c r="BF138" i="5"/>
  <c r="T138" i="5"/>
  <c r="R138" i="5"/>
  <c r="P138" i="5"/>
  <c r="BI135" i="5"/>
  <c r="BH135" i="5"/>
  <c r="BG135" i="5"/>
  <c r="BF135" i="5"/>
  <c r="T135" i="5"/>
  <c r="R135" i="5"/>
  <c r="P135" i="5"/>
  <c r="BI134" i="5"/>
  <c r="BH134" i="5"/>
  <c r="BG134" i="5"/>
  <c r="BF134" i="5"/>
  <c r="T134" i="5"/>
  <c r="R134" i="5"/>
  <c r="P134" i="5"/>
  <c r="BI131" i="5"/>
  <c r="BH131" i="5"/>
  <c r="BG131" i="5"/>
  <c r="BF131" i="5"/>
  <c r="T131" i="5"/>
  <c r="R131" i="5"/>
  <c r="P131" i="5"/>
  <c r="BI129" i="5"/>
  <c r="BH129" i="5"/>
  <c r="BG129" i="5"/>
  <c r="BF129" i="5"/>
  <c r="T129" i="5"/>
  <c r="R129" i="5"/>
  <c r="P129" i="5"/>
  <c r="BI126" i="5"/>
  <c r="BH126" i="5"/>
  <c r="BG126" i="5"/>
  <c r="BF126" i="5"/>
  <c r="T126" i="5"/>
  <c r="R126" i="5"/>
  <c r="P126" i="5"/>
  <c r="BI122" i="5"/>
  <c r="BH122" i="5"/>
  <c r="BG122" i="5"/>
  <c r="BF122" i="5"/>
  <c r="T122" i="5"/>
  <c r="T121" i="5" s="1"/>
  <c r="R122" i="5"/>
  <c r="R121" i="5" s="1"/>
  <c r="P122" i="5"/>
  <c r="P121" i="5" s="1"/>
  <c r="BI120" i="5"/>
  <c r="BH120" i="5"/>
  <c r="BG120" i="5"/>
  <c r="BF120" i="5"/>
  <c r="T120" i="5"/>
  <c r="R120" i="5"/>
  <c r="P120" i="5"/>
  <c r="BI118" i="5"/>
  <c r="BH118" i="5"/>
  <c r="BG118" i="5"/>
  <c r="BF118" i="5"/>
  <c r="T118" i="5"/>
  <c r="R118" i="5"/>
  <c r="P118" i="5"/>
  <c r="BI115" i="5"/>
  <c r="BH115" i="5"/>
  <c r="BG115" i="5"/>
  <c r="BF115" i="5"/>
  <c r="T115" i="5"/>
  <c r="R115" i="5"/>
  <c r="P115" i="5"/>
  <c r="BI113" i="5"/>
  <c r="BH113" i="5"/>
  <c r="BG113" i="5"/>
  <c r="BF113" i="5"/>
  <c r="T113" i="5"/>
  <c r="R113" i="5"/>
  <c r="P113" i="5"/>
  <c r="BI110" i="5"/>
  <c r="BH110" i="5"/>
  <c r="BG110" i="5"/>
  <c r="BF110" i="5"/>
  <c r="T110" i="5"/>
  <c r="R110" i="5"/>
  <c r="P110" i="5"/>
  <c r="BI108" i="5"/>
  <c r="BH108" i="5"/>
  <c r="BG108" i="5"/>
  <c r="BF108" i="5"/>
  <c r="T108" i="5"/>
  <c r="R108" i="5"/>
  <c r="P108" i="5"/>
  <c r="BI104" i="5"/>
  <c r="BH104" i="5"/>
  <c r="BG104" i="5"/>
  <c r="BF104" i="5"/>
  <c r="T104" i="5"/>
  <c r="R104" i="5"/>
  <c r="P104" i="5"/>
  <c r="BI101" i="5"/>
  <c r="BH101" i="5"/>
  <c r="BG101" i="5"/>
  <c r="BF101" i="5"/>
  <c r="T101" i="5"/>
  <c r="R101" i="5"/>
  <c r="P101" i="5"/>
  <c r="BI96" i="5"/>
  <c r="BH96" i="5"/>
  <c r="BG96" i="5"/>
  <c r="BF96" i="5"/>
  <c r="T96" i="5"/>
  <c r="T95" i="5" s="1"/>
  <c r="R96" i="5"/>
  <c r="R95" i="5" s="1"/>
  <c r="P96" i="5"/>
  <c r="P95" i="5" s="1"/>
  <c r="BI92" i="5"/>
  <c r="BH92" i="5"/>
  <c r="BG92" i="5"/>
  <c r="BF92" i="5"/>
  <c r="T92" i="5"/>
  <c r="R92" i="5"/>
  <c r="P92" i="5"/>
  <c r="J85" i="5"/>
  <c r="F85" i="5"/>
  <c r="F83" i="5"/>
  <c r="E81" i="5"/>
  <c r="J54" i="5"/>
  <c r="F54" i="5"/>
  <c r="F52" i="5"/>
  <c r="E50" i="5"/>
  <c r="J24" i="5"/>
  <c r="E24" i="5"/>
  <c r="J86" i="5" s="1"/>
  <c r="J23" i="5"/>
  <c r="J18" i="5"/>
  <c r="E18" i="5"/>
  <c r="F86" i="5" s="1"/>
  <c r="J17" i="5"/>
  <c r="J12" i="5"/>
  <c r="J52" i="5" s="1"/>
  <c r="E7" i="5"/>
  <c r="E79" i="5" s="1"/>
  <c r="J37" i="4"/>
  <c r="J36" i="4"/>
  <c r="AY57" i="1" s="1"/>
  <c r="J35" i="4"/>
  <c r="AX57" i="1" s="1"/>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4" i="4"/>
  <c r="BH174" i="4"/>
  <c r="BG174" i="4"/>
  <c r="BF174" i="4"/>
  <c r="T174" i="4"/>
  <c r="R174" i="4"/>
  <c r="P174" i="4"/>
  <c r="BI172" i="4"/>
  <c r="BH172" i="4"/>
  <c r="BG172" i="4"/>
  <c r="BF172" i="4"/>
  <c r="T172" i="4"/>
  <c r="R172" i="4"/>
  <c r="P172" i="4"/>
  <c r="BI168" i="4"/>
  <c r="BH168" i="4"/>
  <c r="BG168" i="4"/>
  <c r="BF168" i="4"/>
  <c r="T168" i="4"/>
  <c r="R168" i="4"/>
  <c r="P168" i="4"/>
  <c r="BI165" i="4"/>
  <c r="BH165" i="4"/>
  <c r="BG165" i="4"/>
  <c r="BF165" i="4"/>
  <c r="BI163" i="4"/>
  <c r="BH163" i="4"/>
  <c r="BG163" i="4"/>
  <c r="BF163" i="4"/>
  <c r="BI162" i="4"/>
  <c r="BH162" i="4"/>
  <c r="BG162" i="4"/>
  <c r="BF162" i="4"/>
  <c r="T162" i="4"/>
  <c r="R162" i="4"/>
  <c r="P162" i="4"/>
  <c r="BI160" i="4"/>
  <c r="BH160" i="4"/>
  <c r="BG160" i="4"/>
  <c r="BF160" i="4"/>
  <c r="T160" i="4"/>
  <c r="R160" i="4"/>
  <c r="P160" i="4"/>
  <c r="BI156" i="4"/>
  <c r="BH156" i="4"/>
  <c r="BG156" i="4"/>
  <c r="BF156" i="4"/>
  <c r="T156" i="4"/>
  <c r="R156" i="4"/>
  <c r="P156" i="4"/>
  <c r="BI153" i="4"/>
  <c r="BH153" i="4"/>
  <c r="BG153" i="4"/>
  <c r="BF153" i="4"/>
  <c r="BI151" i="4"/>
  <c r="BH151" i="4"/>
  <c r="BG151" i="4"/>
  <c r="BF151" i="4"/>
  <c r="BI148" i="4"/>
  <c r="BH148" i="4"/>
  <c r="BG148" i="4"/>
  <c r="BF148" i="4"/>
  <c r="T148" i="4"/>
  <c r="R148" i="4"/>
  <c r="P148" i="4"/>
  <c r="BI146" i="4"/>
  <c r="BH146" i="4"/>
  <c r="BG146" i="4"/>
  <c r="BF146" i="4"/>
  <c r="T146" i="4"/>
  <c r="R146" i="4"/>
  <c r="P146" i="4"/>
  <c r="BI140" i="4"/>
  <c r="BH140" i="4"/>
  <c r="BG140" i="4"/>
  <c r="BF140" i="4"/>
  <c r="T140" i="4"/>
  <c r="R140" i="4"/>
  <c r="P140" i="4"/>
  <c r="BI126" i="4"/>
  <c r="BH126" i="4"/>
  <c r="BG126" i="4"/>
  <c r="BF126" i="4"/>
  <c r="T126" i="4"/>
  <c r="T125" i="4" s="1"/>
  <c r="R126" i="4"/>
  <c r="R125" i="4" s="1"/>
  <c r="P126" i="4"/>
  <c r="P125" i="4" s="1"/>
  <c r="BI124" i="4"/>
  <c r="BH124" i="4"/>
  <c r="BG124" i="4"/>
  <c r="BF124" i="4"/>
  <c r="T124" i="4"/>
  <c r="R124" i="4"/>
  <c r="P124" i="4"/>
  <c r="BI122" i="4"/>
  <c r="BH122" i="4"/>
  <c r="BG122" i="4"/>
  <c r="BF122" i="4"/>
  <c r="T122" i="4"/>
  <c r="R122" i="4"/>
  <c r="P122" i="4"/>
  <c r="BI119" i="4"/>
  <c r="BH119" i="4"/>
  <c r="BG119" i="4"/>
  <c r="BF119" i="4"/>
  <c r="T119" i="4"/>
  <c r="R119" i="4"/>
  <c r="P119" i="4"/>
  <c r="BI117" i="4"/>
  <c r="BH117" i="4"/>
  <c r="BG117" i="4"/>
  <c r="BF117" i="4"/>
  <c r="T117" i="4"/>
  <c r="R117" i="4"/>
  <c r="P117" i="4"/>
  <c r="BI114" i="4"/>
  <c r="BH114" i="4"/>
  <c r="BG114" i="4"/>
  <c r="BF114" i="4"/>
  <c r="T114" i="4"/>
  <c r="R114" i="4"/>
  <c r="P114" i="4"/>
  <c r="BI112" i="4"/>
  <c r="BH112" i="4"/>
  <c r="BG112" i="4"/>
  <c r="BF112" i="4"/>
  <c r="T112" i="4"/>
  <c r="R112" i="4"/>
  <c r="P112" i="4"/>
  <c r="BI108" i="4"/>
  <c r="BH108" i="4"/>
  <c r="BG108" i="4"/>
  <c r="BF108" i="4"/>
  <c r="T108" i="4"/>
  <c r="R108" i="4"/>
  <c r="P108" i="4"/>
  <c r="BI105" i="4"/>
  <c r="BH105" i="4"/>
  <c r="BG105" i="4"/>
  <c r="BF105" i="4"/>
  <c r="T105" i="4"/>
  <c r="R105" i="4"/>
  <c r="P105" i="4"/>
  <c r="BI103" i="4"/>
  <c r="BH103" i="4"/>
  <c r="BG103" i="4"/>
  <c r="BF103" i="4"/>
  <c r="T103" i="4"/>
  <c r="R103" i="4"/>
  <c r="P103" i="4"/>
  <c r="BI99" i="4"/>
  <c r="BH99" i="4"/>
  <c r="BG99" i="4"/>
  <c r="BF99" i="4"/>
  <c r="T99" i="4"/>
  <c r="R99" i="4"/>
  <c r="P99" i="4"/>
  <c r="BI95" i="4"/>
  <c r="BH95" i="4"/>
  <c r="BG95" i="4"/>
  <c r="BF95" i="4"/>
  <c r="T95" i="4"/>
  <c r="R95" i="4"/>
  <c r="P95" i="4"/>
  <c r="J88" i="4"/>
  <c r="F88" i="4"/>
  <c r="F86" i="4"/>
  <c r="E84" i="4"/>
  <c r="J54" i="4"/>
  <c r="F54" i="4"/>
  <c r="F52" i="4"/>
  <c r="E50" i="4"/>
  <c r="J24" i="4"/>
  <c r="E24" i="4"/>
  <c r="J89" i="4" s="1"/>
  <c r="J23" i="4"/>
  <c r="J18" i="4"/>
  <c r="E18" i="4"/>
  <c r="F89" i="4" s="1"/>
  <c r="J17" i="4"/>
  <c r="J12" i="4"/>
  <c r="J86" i="4" s="1"/>
  <c r="E7" i="4"/>
  <c r="E82" i="4" s="1"/>
  <c r="J37" i="3"/>
  <c r="J36" i="3"/>
  <c r="AY56" i="1" s="1"/>
  <c r="J35" i="3"/>
  <c r="AX56" i="1" s="1"/>
  <c r="BI319" i="3"/>
  <c r="BH319" i="3"/>
  <c r="BG319" i="3"/>
  <c r="BF319" i="3"/>
  <c r="T319" i="3"/>
  <c r="T318" i="3" s="1"/>
  <c r="T317" i="3" s="1"/>
  <c r="R319" i="3"/>
  <c r="R318" i="3" s="1"/>
  <c r="R317" i="3" s="1"/>
  <c r="P319" i="3"/>
  <c r="P318" i="3" s="1"/>
  <c r="P317" i="3" s="1"/>
  <c r="BI315" i="3"/>
  <c r="BH315" i="3"/>
  <c r="BG315" i="3"/>
  <c r="BF315" i="3"/>
  <c r="T315" i="3"/>
  <c r="T314" i="3" s="1"/>
  <c r="R315" i="3"/>
  <c r="R314" i="3" s="1"/>
  <c r="P315" i="3"/>
  <c r="P314" i="3" s="1"/>
  <c r="BI312" i="3"/>
  <c r="BH312" i="3"/>
  <c r="BG312" i="3"/>
  <c r="BF312" i="3"/>
  <c r="BI310" i="3"/>
  <c r="BH310" i="3"/>
  <c r="BG310" i="3"/>
  <c r="BF310" i="3"/>
  <c r="BI309" i="3"/>
  <c r="BH309" i="3"/>
  <c r="BG309" i="3"/>
  <c r="BF309" i="3"/>
  <c r="T309" i="3"/>
  <c r="R309" i="3"/>
  <c r="P309" i="3"/>
  <c r="BI308" i="3"/>
  <c r="BH308" i="3"/>
  <c r="BG308" i="3"/>
  <c r="BF308" i="3"/>
  <c r="T308" i="3"/>
  <c r="R308" i="3"/>
  <c r="P308" i="3"/>
  <c r="BI302" i="3"/>
  <c r="BH302" i="3"/>
  <c r="BG302" i="3"/>
  <c r="BF302" i="3"/>
  <c r="T302" i="3"/>
  <c r="R302" i="3"/>
  <c r="P302" i="3"/>
  <c r="BI299" i="3"/>
  <c r="BH299" i="3"/>
  <c r="BG299" i="3"/>
  <c r="BF299" i="3"/>
  <c r="BI297" i="3"/>
  <c r="BH297" i="3"/>
  <c r="BG297" i="3"/>
  <c r="BF297" i="3"/>
  <c r="BI295" i="3"/>
  <c r="BH295" i="3"/>
  <c r="BG295" i="3"/>
  <c r="BF295" i="3"/>
  <c r="T295" i="3"/>
  <c r="R295" i="3"/>
  <c r="P295" i="3"/>
  <c r="BI293" i="3"/>
  <c r="BH293" i="3"/>
  <c r="BG293" i="3"/>
  <c r="BF293" i="3"/>
  <c r="T293" i="3"/>
  <c r="R293" i="3"/>
  <c r="P293" i="3"/>
  <c r="BI292" i="3"/>
  <c r="BH292" i="3"/>
  <c r="BG292" i="3"/>
  <c r="BF292" i="3"/>
  <c r="T292" i="3"/>
  <c r="R292" i="3"/>
  <c r="P292" i="3"/>
  <c r="BI291" i="3"/>
  <c r="BH291" i="3"/>
  <c r="BG291" i="3"/>
  <c r="BF291" i="3"/>
  <c r="T291" i="3"/>
  <c r="R291" i="3"/>
  <c r="P291" i="3"/>
  <c r="BI285" i="3"/>
  <c r="BH285" i="3"/>
  <c r="BG285" i="3"/>
  <c r="BF285" i="3"/>
  <c r="T285" i="3"/>
  <c r="R285" i="3"/>
  <c r="P285" i="3"/>
  <c r="BI281" i="3"/>
  <c r="BH281" i="3"/>
  <c r="BG281" i="3"/>
  <c r="BF281" i="3"/>
  <c r="T281" i="3"/>
  <c r="R281" i="3"/>
  <c r="P281" i="3"/>
  <c r="BI277" i="3"/>
  <c r="BH277" i="3"/>
  <c r="BG277" i="3"/>
  <c r="BF277" i="3"/>
  <c r="T277" i="3"/>
  <c r="R277" i="3"/>
  <c r="P277" i="3"/>
  <c r="BI273" i="3"/>
  <c r="BH273" i="3"/>
  <c r="BG273" i="3"/>
  <c r="BF273" i="3"/>
  <c r="T273" i="3"/>
  <c r="R273" i="3"/>
  <c r="P273" i="3"/>
  <c r="BI271" i="3"/>
  <c r="BH271" i="3"/>
  <c r="BG271" i="3"/>
  <c r="BF271" i="3"/>
  <c r="T271" i="3"/>
  <c r="R271" i="3"/>
  <c r="P271" i="3"/>
  <c r="BI269" i="3"/>
  <c r="BH269" i="3"/>
  <c r="BG269" i="3"/>
  <c r="BF269" i="3"/>
  <c r="T269" i="3"/>
  <c r="R269" i="3"/>
  <c r="P269" i="3"/>
  <c r="BI268" i="3"/>
  <c r="BH268" i="3"/>
  <c r="BG268" i="3"/>
  <c r="BF268" i="3"/>
  <c r="T268" i="3"/>
  <c r="R268" i="3"/>
  <c r="P268" i="3"/>
  <c r="BI266" i="3"/>
  <c r="BH266" i="3"/>
  <c r="BG266" i="3"/>
  <c r="BF266" i="3"/>
  <c r="T266" i="3"/>
  <c r="R266" i="3"/>
  <c r="P266" i="3"/>
  <c r="BI265" i="3"/>
  <c r="BH265" i="3"/>
  <c r="BG265" i="3"/>
  <c r="BF265" i="3"/>
  <c r="T265" i="3"/>
  <c r="R265" i="3"/>
  <c r="P265" i="3"/>
  <c r="BI258" i="3"/>
  <c r="BH258" i="3"/>
  <c r="BG258" i="3"/>
  <c r="BF258" i="3"/>
  <c r="T258" i="3"/>
  <c r="R258" i="3"/>
  <c r="P258" i="3"/>
  <c r="BI250" i="3"/>
  <c r="BH250" i="3"/>
  <c r="BG250" i="3"/>
  <c r="BF250" i="3"/>
  <c r="T250" i="3"/>
  <c r="R250" i="3"/>
  <c r="P250" i="3"/>
  <c r="BI242" i="3"/>
  <c r="BH242" i="3"/>
  <c r="BG242" i="3"/>
  <c r="BF242" i="3"/>
  <c r="T242" i="3"/>
  <c r="R242" i="3"/>
  <c r="P242" i="3"/>
  <c r="BI241" i="3"/>
  <c r="BH241" i="3"/>
  <c r="BG241" i="3"/>
  <c r="BF241" i="3"/>
  <c r="T241" i="3"/>
  <c r="R241" i="3"/>
  <c r="P241" i="3"/>
  <c r="BI238" i="3"/>
  <c r="BH238" i="3"/>
  <c r="BG238" i="3"/>
  <c r="BF238" i="3"/>
  <c r="T238" i="3"/>
  <c r="R238" i="3"/>
  <c r="P238" i="3"/>
  <c r="BI235" i="3"/>
  <c r="BH235" i="3"/>
  <c r="BG235" i="3"/>
  <c r="BF235" i="3"/>
  <c r="T235" i="3"/>
  <c r="R235" i="3"/>
  <c r="P235" i="3"/>
  <c r="BI232" i="3"/>
  <c r="BH232" i="3"/>
  <c r="BG232" i="3"/>
  <c r="BF232" i="3"/>
  <c r="T232" i="3"/>
  <c r="R232" i="3"/>
  <c r="P232" i="3"/>
  <c r="BI229" i="3"/>
  <c r="BH229" i="3"/>
  <c r="BG229" i="3"/>
  <c r="BF229" i="3"/>
  <c r="T229" i="3"/>
  <c r="R229" i="3"/>
  <c r="P229" i="3"/>
  <c r="BI226" i="3"/>
  <c r="BH226" i="3"/>
  <c r="BG226" i="3"/>
  <c r="BF226" i="3"/>
  <c r="T226" i="3"/>
  <c r="R226" i="3"/>
  <c r="P226" i="3"/>
  <c r="BI223" i="3"/>
  <c r="BH223" i="3"/>
  <c r="BG223" i="3"/>
  <c r="BF223" i="3"/>
  <c r="T223" i="3"/>
  <c r="R223" i="3"/>
  <c r="P223" i="3"/>
  <c r="BI220" i="3"/>
  <c r="BH220" i="3"/>
  <c r="BG220" i="3"/>
  <c r="BF220" i="3"/>
  <c r="BI218" i="3"/>
  <c r="BH218" i="3"/>
  <c r="BG218" i="3"/>
  <c r="BF218" i="3"/>
  <c r="BI216" i="3"/>
  <c r="BH216" i="3"/>
  <c r="BG216" i="3"/>
  <c r="BF216" i="3"/>
  <c r="T216" i="3"/>
  <c r="R216" i="3"/>
  <c r="P216" i="3"/>
  <c r="BI212" i="3"/>
  <c r="BH212" i="3"/>
  <c r="BG212" i="3"/>
  <c r="BF212" i="3"/>
  <c r="T212" i="3"/>
  <c r="R212" i="3"/>
  <c r="P212" i="3"/>
  <c r="BI211" i="3"/>
  <c r="BH211" i="3"/>
  <c r="BG211" i="3"/>
  <c r="BF211" i="3"/>
  <c r="T211" i="3"/>
  <c r="R211" i="3"/>
  <c r="P211" i="3"/>
  <c r="BI207" i="3"/>
  <c r="BH207" i="3"/>
  <c r="BG207" i="3"/>
  <c r="BF207" i="3"/>
  <c r="T207" i="3"/>
  <c r="R207" i="3"/>
  <c r="P207" i="3"/>
  <c r="BI199" i="3"/>
  <c r="BH199" i="3"/>
  <c r="BG199" i="3"/>
  <c r="BF199" i="3"/>
  <c r="T199" i="3"/>
  <c r="R199" i="3"/>
  <c r="P199" i="3"/>
  <c r="BI193" i="3"/>
  <c r="BH193" i="3"/>
  <c r="BG193" i="3"/>
  <c r="BF193" i="3"/>
  <c r="T193" i="3"/>
  <c r="R193" i="3"/>
  <c r="P193" i="3"/>
  <c r="BI190" i="3"/>
  <c r="BH190" i="3"/>
  <c r="BG190" i="3"/>
  <c r="BF190" i="3"/>
  <c r="T190" i="3"/>
  <c r="R190" i="3"/>
  <c r="P190" i="3"/>
  <c r="BI187" i="3"/>
  <c r="BH187" i="3"/>
  <c r="BG187" i="3"/>
  <c r="BF187" i="3"/>
  <c r="BI185" i="3"/>
  <c r="BH185" i="3"/>
  <c r="BG185" i="3"/>
  <c r="BF185" i="3"/>
  <c r="BI182" i="3"/>
  <c r="BH182" i="3"/>
  <c r="BG182" i="3"/>
  <c r="BF182" i="3"/>
  <c r="T182" i="3"/>
  <c r="R182" i="3"/>
  <c r="P182" i="3"/>
  <c r="BI178" i="3"/>
  <c r="BH178" i="3"/>
  <c r="BG178" i="3"/>
  <c r="BF178" i="3"/>
  <c r="T178" i="3"/>
  <c r="R178" i="3"/>
  <c r="P178" i="3"/>
  <c r="BI174" i="3"/>
  <c r="BH174" i="3"/>
  <c r="BG174" i="3"/>
  <c r="BF174" i="3"/>
  <c r="T174" i="3"/>
  <c r="R174" i="3"/>
  <c r="P174" i="3"/>
  <c r="BI170" i="3"/>
  <c r="BH170" i="3"/>
  <c r="BG170" i="3"/>
  <c r="BF170" i="3"/>
  <c r="T170" i="3"/>
  <c r="R170" i="3"/>
  <c r="P170" i="3"/>
  <c r="BI166" i="3"/>
  <c r="BH166" i="3"/>
  <c r="BG166" i="3"/>
  <c r="BF166" i="3"/>
  <c r="T166" i="3"/>
  <c r="R166" i="3"/>
  <c r="P166" i="3"/>
  <c r="BI162" i="3"/>
  <c r="BH162" i="3"/>
  <c r="BG162" i="3"/>
  <c r="BF162" i="3"/>
  <c r="T162" i="3"/>
  <c r="R162" i="3"/>
  <c r="P162" i="3"/>
  <c r="BI158" i="3"/>
  <c r="BH158" i="3"/>
  <c r="BG158" i="3"/>
  <c r="BF158" i="3"/>
  <c r="T158" i="3"/>
  <c r="R158" i="3"/>
  <c r="P158" i="3"/>
  <c r="BI154" i="3"/>
  <c r="BH154" i="3"/>
  <c r="BG154" i="3"/>
  <c r="BF154" i="3"/>
  <c r="T154" i="3"/>
  <c r="T153" i="3" s="1"/>
  <c r="R154" i="3"/>
  <c r="R153" i="3" s="1"/>
  <c r="P154" i="3"/>
  <c r="P153" i="3" s="1"/>
  <c r="BI152" i="3"/>
  <c r="BH152" i="3"/>
  <c r="BG152" i="3"/>
  <c r="BF152" i="3"/>
  <c r="T152" i="3"/>
  <c r="R152" i="3"/>
  <c r="P152" i="3"/>
  <c r="BI150" i="3"/>
  <c r="BH150" i="3"/>
  <c r="BG150" i="3"/>
  <c r="BF150" i="3"/>
  <c r="T150" i="3"/>
  <c r="R150" i="3"/>
  <c r="P150" i="3"/>
  <c r="BI147" i="3"/>
  <c r="BH147" i="3"/>
  <c r="BG147" i="3"/>
  <c r="BF147" i="3"/>
  <c r="T147" i="3"/>
  <c r="R147" i="3"/>
  <c r="P147" i="3"/>
  <c r="BI145" i="3"/>
  <c r="BH145" i="3"/>
  <c r="BG145" i="3"/>
  <c r="BF145" i="3"/>
  <c r="T145" i="3"/>
  <c r="R145" i="3"/>
  <c r="P145" i="3"/>
  <c r="BI142" i="3"/>
  <c r="BH142" i="3"/>
  <c r="BG142" i="3"/>
  <c r="BF142" i="3"/>
  <c r="T142" i="3"/>
  <c r="R142" i="3"/>
  <c r="P142" i="3"/>
  <c r="BI140" i="3"/>
  <c r="BH140" i="3"/>
  <c r="BG140" i="3"/>
  <c r="BF140" i="3"/>
  <c r="T140" i="3"/>
  <c r="R140" i="3"/>
  <c r="P140" i="3"/>
  <c r="BI136" i="3"/>
  <c r="BH136" i="3"/>
  <c r="BG136" i="3"/>
  <c r="BF136" i="3"/>
  <c r="T136" i="3"/>
  <c r="R136" i="3"/>
  <c r="P136" i="3"/>
  <c r="BI130" i="3"/>
  <c r="BH130" i="3"/>
  <c r="BG130" i="3"/>
  <c r="BF130" i="3"/>
  <c r="T130" i="3"/>
  <c r="R130" i="3"/>
  <c r="P130" i="3"/>
  <c r="BI127" i="3"/>
  <c r="BH127" i="3"/>
  <c r="BG127" i="3"/>
  <c r="BF127" i="3"/>
  <c r="T127" i="3"/>
  <c r="R127" i="3"/>
  <c r="P127" i="3"/>
  <c r="BI124" i="3"/>
  <c r="BH124" i="3"/>
  <c r="BG124" i="3"/>
  <c r="BF124" i="3"/>
  <c r="T124" i="3"/>
  <c r="R124" i="3"/>
  <c r="P124" i="3"/>
  <c r="BI122" i="3"/>
  <c r="BH122" i="3"/>
  <c r="BG122" i="3"/>
  <c r="BF122" i="3"/>
  <c r="T122" i="3"/>
  <c r="R122" i="3"/>
  <c r="P122" i="3"/>
  <c r="BI115" i="3"/>
  <c r="BH115" i="3"/>
  <c r="BG115" i="3"/>
  <c r="BF115" i="3"/>
  <c r="T115" i="3"/>
  <c r="R115" i="3"/>
  <c r="P115" i="3"/>
  <c r="BI111" i="3"/>
  <c r="BH111" i="3"/>
  <c r="BG111" i="3"/>
  <c r="BF111" i="3"/>
  <c r="T111" i="3"/>
  <c r="T110" i="3" s="1"/>
  <c r="R111" i="3"/>
  <c r="R110" i="3" s="1"/>
  <c r="P111" i="3"/>
  <c r="P110" i="3" s="1"/>
  <c r="BI104" i="3"/>
  <c r="BH104" i="3"/>
  <c r="BG104" i="3"/>
  <c r="BF104" i="3"/>
  <c r="T104" i="3"/>
  <c r="R104" i="3"/>
  <c r="P104" i="3"/>
  <c r="BI100" i="3"/>
  <c r="BH100" i="3"/>
  <c r="BG100" i="3"/>
  <c r="BF100" i="3"/>
  <c r="T100" i="3"/>
  <c r="R100" i="3"/>
  <c r="P100" i="3"/>
  <c r="BI97" i="3"/>
  <c r="BH97" i="3"/>
  <c r="BG97" i="3"/>
  <c r="BF97" i="3"/>
  <c r="T97" i="3"/>
  <c r="R97" i="3"/>
  <c r="P97" i="3"/>
  <c r="J90" i="3"/>
  <c r="F90" i="3"/>
  <c r="F88" i="3"/>
  <c r="E86" i="3"/>
  <c r="J54" i="3"/>
  <c r="F54" i="3"/>
  <c r="F52" i="3"/>
  <c r="E50" i="3"/>
  <c r="J24" i="3"/>
  <c r="E24" i="3"/>
  <c r="J91" i="3" s="1"/>
  <c r="J23" i="3"/>
  <c r="J18" i="3"/>
  <c r="E18" i="3"/>
  <c r="F91" i="3" s="1"/>
  <c r="J17" i="3"/>
  <c r="J12" i="3"/>
  <c r="J52" i="3" s="1"/>
  <c r="E7" i="3"/>
  <c r="E84" i="3" s="1"/>
  <c r="J37" i="2"/>
  <c r="J36" i="2"/>
  <c r="AY55" i="1" s="1"/>
  <c r="J35" i="2"/>
  <c r="AX55" i="1" s="1"/>
  <c r="BI598" i="2"/>
  <c r="BH598" i="2"/>
  <c r="BG598" i="2"/>
  <c r="BF598" i="2"/>
  <c r="T598" i="2"/>
  <c r="R598" i="2"/>
  <c r="P598" i="2"/>
  <c r="BI596" i="2"/>
  <c r="BH596" i="2"/>
  <c r="BG596" i="2"/>
  <c r="BF596" i="2"/>
  <c r="T596" i="2"/>
  <c r="R596" i="2"/>
  <c r="P596" i="2"/>
  <c r="BI595" i="2"/>
  <c r="BH595" i="2"/>
  <c r="BG595" i="2"/>
  <c r="BF595" i="2"/>
  <c r="T595" i="2"/>
  <c r="R595" i="2"/>
  <c r="P595" i="2"/>
  <c r="BI594" i="2"/>
  <c r="BH594" i="2"/>
  <c r="BG594" i="2"/>
  <c r="BF594" i="2"/>
  <c r="T594" i="2"/>
  <c r="R594" i="2"/>
  <c r="P594" i="2"/>
  <c r="BI582" i="2"/>
  <c r="BH582" i="2"/>
  <c r="BG582" i="2"/>
  <c r="BF582" i="2"/>
  <c r="T582" i="2"/>
  <c r="R582" i="2"/>
  <c r="P582" i="2"/>
  <c r="BI580" i="2"/>
  <c r="BH580" i="2"/>
  <c r="BG580" i="2"/>
  <c r="BF580" i="2"/>
  <c r="T580" i="2"/>
  <c r="R580" i="2"/>
  <c r="P580" i="2"/>
  <c r="BI573" i="2"/>
  <c r="BH573" i="2"/>
  <c r="BG573" i="2"/>
  <c r="BF573" i="2"/>
  <c r="T573" i="2"/>
  <c r="R573" i="2"/>
  <c r="P573" i="2"/>
  <c r="BI571" i="2"/>
  <c r="BH571" i="2"/>
  <c r="BG571" i="2"/>
  <c r="BF571" i="2"/>
  <c r="T571" i="2"/>
  <c r="R571" i="2"/>
  <c r="P571" i="2"/>
  <c r="BI567" i="2"/>
  <c r="BH567" i="2"/>
  <c r="BG567" i="2"/>
  <c r="BF567" i="2"/>
  <c r="T567" i="2"/>
  <c r="R567" i="2"/>
  <c r="P567" i="2"/>
  <c r="BI563" i="2"/>
  <c r="BH563" i="2"/>
  <c r="BG563" i="2"/>
  <c r="BF563" i="2"/>
  <c r="T563" i="2"/>
  <c r="R563" i="2"/>
  <c r="P563" i="2"/>
  <c r="BI560" i="2"/>
  <c r="BH560" i="2"/>
  <c r="BG560" i="2"/>
  <c r="BF560" i="2"/>
  <c r="T560" i="2"/>
  <c r="R560" i="2"/>
  <c r="P560" i="2"/>
  <c r="BI557" i="2"/>
  <c r="BH557" i="2"/>
  <c r="BG557" i="2"/>
  <c r="BF557" i="2"/>
  <c r="T557" i="2"/>
  <c r="R557" i="2"/>
  <c r="P557" i="2"/>
  <c r="BI554" i="2"/>
  <c r="BH554" i="2"/>
  <c r="BG554" i="2"/>
  <c r="BF554" i="2"/>
  <c r="T554" i="2"/>
  <c r="R554" i="2"/>
  <c r="P554" i="2"/>
  <c r="BI553" i="2"/>
  <c r="BH553" i="2"/>
  <c r="BG553" i="2"/>
  <c r="BF553" i="2"/>
  <c r="T553" i="2"/>
  <c r="R553" i="2"/>
  <c r="P553" i="2"/>
  <c r="BI552" i="2"/>
  <c r="BH552" i="2"/>
  <c r="BG552" i="2"/>
  <c r="BF552" i="2"/>
  <c r="T552" i="2"/>
  <c r="R552" i="2"/>
  <c r="P552" i="2"/>
  <c r="BI546" i="2"/>
  <c r="BH546" i="2"/>
  <c r="BG546" i="2"/>
  <c r="BF546" i="2"/>
  <c r="T546" i="2"/>
  <c r="R546" i="2"/>
  <c r="P546" i="2"/>
  <c r="BI543" i="2"/>
  <c r="BH543" i="2"/>
  <c r="BG543" i="2"/>
  <c r="BF543" i="2"/>
  <c r="BI541" i="2"/>
  <c r="BH541" i="2"/>
  <c r="BG541" i="2"/>
  <c r="BF541" i="2"/>
  <c r="BI533" i="2"/>
  <c r="BH533" i="2"/>
  <c r="BG533" i="2"/>
  <c r="BF533" i="2"/>
  <c r="T533" i="2"/>
  <c r="R533" i="2"/>
  <c r="P533" i="2"/>
  <c r="BI525" i="2"/>
  <c r="BH525" i="2"/>
  <c r="BG525" i="2"/>
  <c r="BF525" i="2"/>
  <c r="T525" i="2"/>
  <c r="R525" i="2"/>
  <c r="P525" i="2"/>
  <c r="BI517" i="2"/>
  <c r="BH517" i="2"/>
  <c r="BG517" i="2"/>
  <c r="BF517" i="2"/>
  <c r="T517" i="2"/>
  <c r="R517" i="2"/>
  <c r="P517" i="2"/>
  <c r="BI515" i="2"/>
  <c r="BH515" i="2"/>
  <c r="BG515" i="2"/>
  <c r="BF515" i="2"/>
  <c r="T515" i="2"/>
  <c r="R515" i="2"/>
  <c r="P515" i="2"/>
  <c r="BI507" i="2"/>
  <c r="BH507" i="2"/>
  <c r="BG507" i="2"/>
  <c r="BF507" i="2"/>
  <c r="T507" i="2"/>
  <c r="R507" i="2"/>
  <c r="P507" i="2"/>
  <c r="BI505" i="2"/>
  <c r="BH505" i="2"/>
  <c r="BG505" i="2"/>
  <c r="BF505" i="2"/>
  <c r="T505" i="2"/>
  <c r="R505" i="2"/>
  <c r="P505" i="2"/>
  <c r="BI503" i="2"/>
  <c r="BH503" i="2"/>
  <c r="BG503" i="2"/>
  <c r="BF503" i="2"/>
  <c r="T503" i="2"/>
  <c r="R503" i="2"/>
  <c r="P503" i="2"/>
  <c r="BI502" i="2"/>
  <c r="BH502" i="2"/>
  <c r="BG502" i="2"/>
  <c r="BF502" i="2"/>
  <c r="T502" i="2"/>
  <c r="R502" i="2"/>
  <c r="P502" i="2"/>
  <c r="BI484" i="2"/>
  <c r="BH484" i="2"/>
  <c r="BG484" i="2"/>
  <c r="BF484" i="2"/>
  <c r="T484" i="2"/>
  <c r="R484" i="2"/>
  <c r="P484" i="2"/>
  <c r="BI466" i="2"/>
  <c r="BH466" i="2"/>
  <c r="BG466" i="2"/>
  <c r="BF466" i="2"/>
  <c r="T466" i="2"/>
  <c r="R466" i="2"/>
  <c r="P466" i="2"/>
  <c r="BI464" i="2"/>
  <c r="BH464" i="2"/>
  <c r="BG464" i="2"/>
  <c r="BF464" i="2"/>
  <c r="T464" i="2"/>
  <c r="R464" i="2"/>
  <c r="P464" i="2"/>
  <c r="BI461" i="2"/>
  <c r="BH461" i="2"/>
  <c r="BG461" i="2"/>
  <c r="BF461" i="2"/>
  <c r="T461" i="2"/>
  <c r="R461" i="2"/>
  <c r="P461" i="2"/>
  <c r="BI448" i="2"/>
  <c r="BH448" i="2"/>
  <c r="BG448" i="2"/>
  <c r="BF448" i="2"/>
  <c r="T448" i="2"/>
  <c r="T418" i="2" s="1"/>
  <c r="R448" i="2"/>
  <c r="R418" i="2" s="1"/>
  <c r="P448" i="2"/>
  <c r="P418" i="2" s="1"/>
  <c r="BI458" i="2"/>
  <c r="BH458" i="2"/>
  <c r="BG458" i="2"/>
  <c r="BF458" i="2"/>
  <c r="BI456" i="2"/>
  <c r="BH456" i="2"/>
  <c r="BG456" i="2"/>
  <c r="BF456" i="2"/>
  <c r="BI447" i="2"/>
  <c r="BH447" i="2"/>
  <c r="BG447" i="2"/>
  <c r="BF447" i="2"/>
  <c r="T447" i="2"/>
  <c r="R447" i="2"/>
  <c r="P447" i="2"/>
  <c r="BI441" i="2"/>
  <c r="BH441" i="2"/>
  <c r="BG441" i="2"/>
  <c r="BF441" i="2"/>
  <c r="T441" i="2"/>
  <c r="R441" i="2"/>
  <c r="P441" i="2"/>
  <c r="BI438" i="2"/>
  <c r="BH438" i="2"/>
  <c r="BG438" i="2"/>
  <c r="BF438" i="2"/>
  <c r="T438" i="2"/>
  <c r="R438" i="2"/>
  <c r="P438" i="2"/>
  <c r="BI430" i="2"/>
  <c r="BH430" i="2"/>
  <c r="BG430" i="2"/>
  <c r="BF430" i="2"/>
  <c r="T430" i="2"/>
  <c r="R430" i="2"/>
  <c r="P430" i="2"/>
  <c r="BI427" i="2"/>
  <c r="BH427" i="2"/>
  <c r="BG427" i="2"/>
  <c r="BF427" i="2"/>
  <c r="T427" i="2"/>
  <c r="R427" i="2"/>
  <c r="P427" i="2"/>
  <c r="BI419" i="2"/>
  <c r="BH419" i="2"/>
  <c r="BG419" i="2"/>
  <c r="BF419" i="2"/>
  <c r="T419" i="2"/>
  <c r="R419" i="2"/>
  <c r="P419" i="2"/>
  <c r="BI416" i="2"/>
  <c r="BH416" i="2"/>
  <c r="BG416" i="2"/>
  <c r="BF416" i="2"/>
  <c r="BI414" i="2"/>
  <c r="BH414" i="2"/>
  <c r="BG414" i="2"/>
  <c r="BF414" i="2"/>
  <c r="BI406" i="2"/>
  <c r="BH406" i="2"/>
  <c r="BG406" i="2"/>
  <c r="BF406" i="2"/>
  <c r="T406" i="2"/>
  <c r="R406" i="2"/>
  <c r="P406" i="2"/>
  <c r="BI394" i="2"/>
  <c r="BH394" i="2"/>
  <c r="BG394" i="2"/>
  <c r="BF394" i="2"/>
  <c r="T394" i="2"/>
  <c r="R394" i="2"/>
  <c r="P394" i="2"/>
  <c r="BI386" i="2"/>
  <c r="BH386" i="2"/>
  <c r="BG386" i="2"/>
  <c r="BF386" i="2"/>
  <c r="T386" i="2"/>
  <c r="R386" i="2"/>
  <c r="P386" i="2"/>
  <c r="BI383" i="2"/>
  <c r="BH383" i="2"/>
  <c r="BG383" i="2"/>
  <c r="BF383" i="2"/>
  <c r="T383" i="2"/>
  <c r="R383" i="2"/>
  <c r="P383" i="2"/>
  <c r="BI375" i="2"/>
  <c r="BH375" i="2"/>
  <c r="BG375" i="2"/>
  <c r="BF375" i="2"/>
  <c r="T375" i="2"/>
  <c r="R375" i="2"/>
  <c r="P375" i="2"/>
  <c r="BI373" i="2"/>
  <c r="BH373" i="2"/>
  <c r="BG373" i="2"/>
  <c r="BF373" i="2"/>
  <c r="T373" i="2"/>
  <c r="R373" i="2"/>
  <c r="P373" i="2"/>
  <c r="BI369" i="2"/>
  <c r="BH369" i="2"/>
  <c r="BG369" i="2"/>
  <c r="BF369" i="2"/>
  <c r="T369" i="2"/>
  <c r="R369" i="2"/>
  <c r="P369" i="2"/>
  <c r="BI365" i="2"/>
  <c r="BH365" i="2"/>
  <c r="BG365" i="2"/>
  <c r="BF365" i="2"/>
  <c r="T365" i="2"/>
  <c r="R365" i="2"/>
  <c r="P365" i="2"/>
  <c r="BI363" i="2"/>
  <c r="BH363" i="2"/>
  <c r="BG363" i="2"/>
  <c r="BF363" i="2"/>
  <c r="T363" i="2"/>
  <c r="R363" i="2"/>
  <c r="P363" i="2"/>
  <c r="BI355" i="2"/>
  <c r="BH355" i="2"/>
  <c r="BG355" i="2"/>
  <c r="BF355" i="2"/>
  <c r="T355" i="2"/>
  <c r="R355" i="2"/>
  <c r="P355" i="2"/>
  <c r="BI352" i="2"/>
  <c r="BH352" i="2"/>
  <c r="BG352" i="2"/>
  <c r="BF352" i="2"/>
  <c r="BI350" i="2"/>
  <c r="BH350" i="2"/>
  <c r="BG350" i="2"/>
  <c r="BF350" i="2"/>
  <c r="BI344" i="2"/>
  <c r="BH344" i="2"/>
  <c r="BG344" i="2"/>
  <c r="BF344" i="2"/>
  <c r="T344" i="2"/>
  <c r="R344" i="2"/>
  <c r="P344" i="2"/>
  <c r="BI341" i="2"/>
  <c r="BH341" i="2"/>
  <c r="BG341" i="2"/>
  <c r="BF341" i="2"/>
  <c r="T341" i="2"/>
  <c r="R341" i="2"/>
  <c r="P341" i="2"/>
  <c r="BI337" i="2"/>
  <c r="BH337" i="2"/>
  <c r="BG337" i="2"/>
  <c r="BF337" i="2"/>
  <c r="T337" i="2"/>
  <c r="R337" i="2"/>
  <c r="P337" i="2"/>
  <c r="BI333" i="2"/>
  <c r="BH333" i="2"/>
  <c r="BG333" i="2"/>
  <c r="BF333" i="2"/>
  <c r="T333" i="2"/>
  <c r="R333" i="2"/>
  <c r="P333" i="2"/>
  <c r="BI327" i="2"/>
  <c r="BH327" i="2"/>
  <c r="BG327" i="2"/>
  <c r="BF327" i="2"/>
  <c r="T327" i="2"/>
  <c r="R327" i="2"/>
  <c r="P327" i="2"/>
  <c r="BI321" i="2"/>
  <c r="BH321" i="2"/>
  <c r="BG321" i="2"/>
  <c r="BF321" i="2"/>
  <c r="T321" i="2"/>
  <c r="R321" i="2"/>
  <c r="P321" i="2"/>
  <c r="BI311" i="2"/>
  <c r="BH311" i="2"/>
  <c r="BG311" i="2"/>
  <c r="BF311" i="2"/>
  <c r="T311" i="2"/>
  <c r="R311" i="2"/>
  <c r="P311" i="2"/>
  <c r="BI305" i="2"/>
  <c r="BH305" i="2"/>
  <c r="BG305" i="2"/>
  <c r="BF305" i="2"/>
  <c r="T305" i="2"/>
  <c r="R305" i="2"/>
  <c r="P305" i="2"/>
  <c r="BI301" i="2"/>
  <c r="BH301" i="2"/>
  <c r="BG301" i="2"/>
  <c r="BF301" i="2"/>
  <c r="T301" i="2"/>
  <c r="R301" i="2"/>
  <c r="P301" i="2"/>
  <c r="BI298" i="2"/>
  <c r="BH298" i="2"/>
  <c r="BG298" i="2"/>
  <c r="BF298" i="2"/>
  <c r="T298" i="2"/>
  <c r="R298" i="2"/>
  <c r="P298" i="2"/>
  <c r="BI295" i="2"/>
  <c r="BH295" i="2"/>
  <c r="BG295" i="2"/>
  <c r="BF295" i="2"/>
  <c r="T295" i="2"/>
  <c r="R295" i="2"/>
  <c r="P295" i="2"/>
  <c r="BI283" i="2"/>
  <c r="BH283" i="2"/>
  <c r="BG283" i="2"/>
  <c r="BF283" i="2"/>
  <c r="BI281" i="2"/>
  <c r="BH281" i="2"/>
  <c r="BG281" i="2"/>
  <c r="BF281" i="2"/>
  <c r="BI279" i="2"/>
  <c r="BH279" i="2"/>
  <c r="BG279" i="2"/>
  <c r="BF279" i="2"/>
  <c r="T279" i="2"/>
  <c r="R279" i="2"/>
  <c r="P279" i="2"/>
  <c r="BI277" i="2"/>
  <c r="BH277" i="2"/>
  <c r="BG277" i="2"/>
  <c r="BF277" i="2"/>
  <c r="T277" i="2"/>
  <c r="R277" i="2"/>
  <c r="P277" i="2"/>
  <c r="BI268" i="2"/>
  <c r="BH268" i="2"/>
  <c r="BG268" i="2"/>
  <c r="BF268" i="2"/>
  <c r="T268" i="2"/>
  <c r="R268" i="2"/>
  <c r="P268" i="2"/>
  <c r="BI250" i="2"/>
  <c r="BH250" i="2"/>
  <c r="BG250" i="2"/>
  <c r="BF250" i="2"/>
  <c r="T250" i="2"/>
  <c r="T249" i="2" s="1"/>
  <c r="R250" i="2"/>
  <c r="R249" i="2" s="1"/>
  <c r="P250" i="2"/>
  <c r="P249" i="2" s="1"/>
  <c r="BI247" i="2"/>
  <c r="BH247" i="2"/>
  <c r="BG247" i="2"/>
  <c r="BF247" i="2"/>
  <c r="T247" i="2"/>
  <c r="R247" i="2"/>
  <c r="P247" i="2"/>
  <c r="BI244" i="2"/>
  <c r="BH244" i="2"/>
  <c r="BG244" i="2"/>
  <c r="BF244" i="2"/>
  <c r="T244" i="2"/>
  <c r="R244" i="2"/>
  <c r="P244" i="2"/>
  <c r="BI242" i="2"/>
  <c r="BH242" i="2"/>
  <c r="BG242" i="2"/>
  <c r="BF242" i="2"/>
  <c r="T242" i="2"/>
  <c r="R242" i="2"/>
  <c r="P242" i="2"/>
  <c r="BI239" i="2"/>
  <c r="BH239" i="2"/>
  <c r="BG239" i="2"/>
  <c r="BF239" i="2"/>
  <c r="T239" i="2"/>
  <c r="R239" i="2"/>
  <c r="P239" i="2"/>
  <c r="BI237" i="2"/>
  <c r="BH237" i="2"/>
  <c r="BG237" i="2"/>
  <c r="BF237" i="2"/>
  <c r="T237" i="2"/>
  <c r="R237" i="2"/>
  <c r="P237" i="2"/>
  <c r="BI219" i="2"/>
  <c r="BH219" i="2"/>
  <c r="BG219" i="2"/>
  <c r="BF219" i="2"/>
  <c r="T219" i="2"/>
  <c r="R219" i="2"/>
  <c r="P219" i="2"/>
  <c r="BI208" i="2"/>
  <c r="BH208" i="2"/>
  <c r="BG208" i="2"/>
  <c r="BF208" i="2"/>
  <c r="T208" i="2"/>
  <c r="R208" i="2"/>
  <c r="P208" i="2"/>
  <c r="BI200" i="2"/>
  <c r="BH200" i="2"/>
  <c r="BG200" i="2"/>
  <c r="BF200" i="2"/>
  <c r="T200" i="2"/>
  <c r="R200" i="2"/>
  <c r="P200" i="2"/>
  <c r="BI193" i="2"/>
  <c r="BH193" i="2"/>
  <c r="BG193" i="2"/>
  <c r="BF193" i="2"/>
  <c r="T193" i="2"/>
  <c r="R193" i="2"/>
  <c r="P193" i="2"/>
  <c r="BI185" i="2"/>
  <c r="BH185" i="2"/>
  <c r="BG185" i="2"/>
  <c r="BF185" i="2"/>
  <c r="T185" i="2"/>
  <c r="R185" i="2"/>
  <c r="P185" i="2"/>
  <c r="BI180" i="2"/>
  <c r="BH180" i="2"/>
  <c r="BG180" i="2"/>
  <c r="BF180" i="2"/>
  <c r="T180" i="2"/>
  <c r="R180" i="2"/>
  <c r="P180" i="2"/>
  <c r="BI176" i="2"/>
  <c r="BH176" i="2"/>
  <c r="BG176" i="2"/>
  <c r="BF176" i="2"/>
  <c r="T176" i="2"/>
  <c r="R176" i="2"/>
  <c r="P176" i="2"/>
  <c r="BI173" i="2"/>
  <c r="BH173" i="2"/>
  <c r="BG173" i="2"/>
  <c r="BF173" i="2"/>
  <c r="T173" i="2"/>
  <c r="R173" i="2"/>
  <c r="P173" i="2"/>
  <c r="BI170" i="2"/>
  <c r="BH170" i="2"/>
  <c r="BG170" i="2"/>
  <c r="BF170" i="2"/>
  <c r="T170" i="2"/>
  <c r="R170" i="2"/>
  <c r="P170" i="2"/>
  <c r="BI168" i="2"/>
  <c r="BH168" i="2"/>
  <c r="BG168" i="2"/>
  <c r="BF168" i="2"/>
  <c r="T168" i="2"/>
  <c r="R168" i="2"/>
  <c r="P168" i="2"/>
  <c r="BI167" i="2"/>
  <c r="BH167" i="2"/>
  <c r="BG167" i="2"/>
  <c r="BF167" i="2"/>
  <c r="T167" i="2"/>
  <c r="R167" i="2"/>
  <c r="P167" i="2"/>
  <c r="BI166" i="2"/>
  <c r="BH166" i="2"/>
  <c r="BG166" i="2"/>
  <c r="BF166" i="2"/>
  <c r="T166" i="2"/>
  <c r="R166" i="2"/>
  <c r="P166" i="2"/>
  <c r="BI159" i="2"/>
  <c r="BH159" i="2"/>
  <c r="BG159" i="2"/>
  <c r="BF159" i="2"/>
  <c r="T159" i="2"/>
  <c r="R159" i="2"/>
  <c r="P159" i="2"/>
  <c r="BI155" i="2"/>
  <c r="BH155" i="2"/>
  <c r="BG155" i="2"/>
  <c r="BF155" i="2"/>
  <c r="T155" i="2"/>
  <c r="R155" i="2"/>
  <c r="P155" i="2"/>
  <c r="BI147" i="2"/>
  <c r="BH147" i="2"/>
  <c r="BG147" i="2"/>
  <c r="BF147" i="2"/>
  <c r="T147" i="2"/>
  <c r="R147" i="2"/>
  <c r="P147" i="2"/>
  <c r="BI139" i="2"/>
  <c r="BH139" i="2"/>
  <c r="BG139" i="2"/>
  <c r="BF139" i="2"/>
  <c r="T139" i="2"/>
  <c r="R139" i="2"/>
  <c r="P139" i="2"/>
  <c r="BI132" i="2"/>
  <c r="BH132" i="2"/>
  <c r="BG132" i="2"/>
  <c r="BF132" i="2"/>
  <c r="T132" i="2"/>
  <c r="R132" i="2"/>
  <c r="P132" i="2"/>
  <c r="BI129" i="2"/>
  <c r="BH129" i="2"/>
  <c r="BG129" i="2"/>
  <c r="BF129" i="2"/>
  <c r="T129" i="2"/>
  <c r="R129" i="2"/>
  <c r="P129" i="2"/>
  <c r="BI126" i="2"/>
  <c r="BH126" i="2"/>
  <c r="BG126" i="2"/>
  <c r="BF126" i="2"/>
  <c r="T126" i="2"/>
  <c r="R126" i="2"/>
  <c r="P126" i="2"/>
  <c r="BI109" i="2"/>
  <c r="BH109" i="2"/>
  <c r="BG109" i="2"/>
  <c r="BF109" i="2"/>
  <c r="T109" i="2"/>
  <c r="R109" i="2"/>
  <c r="P109" i="2"/>
  <c r="BI102" i="2"/>
  <c r="BH102" i="2"/>
  <c r="BG102" i="2"/>
  <c r="BF102" i="2"/>
  <c r="T102" i="2"/>
  <c r="R102" i="2"/>
  <c r="P102" i="2"/>
  <c r="J89" i="2"/>
  <c r="F89" i="2"/>
  <c r="F87" i="2"/>
  <c r="E85" i="2"/>
  <c r="J54" i="2"/>
  <c r="F54" i="2"/>
  <c r="F52" i="2"/>
  <c r="E50" i="2"/>
  <c r="J24" i="2"/>
  <c r="E24" i="2"/>
  <c r="J90" i="2" s="1"/>
  <c r="J23" i="2"/>
  <c r="J18" i="2"/>
  <c r="E18" i="2"/>
  <c r="F90" i="2" s="1"/>
  <c r="J17" i="2"/>
  <c r="J12" i="2"/>
  <c r="J52" i="2" s="1"/>
  <c r="E7" i="2"/>
  <c r="E48" i="2" s="1"/>
  <c r="L50" i="1"/>
  <c r="AM50" i="1"/>
  <c r="AM49" i="1"/>
  <c r="L49" i="1"/>
  <c r="AM47" i="1"/>
  <c r="L47" i="1"/>
  <c r="L45" i="1"/>
  <c r="L44" i="1"/>
  <c r="BK88" i="8"/>
  <c r="BK156" i="6"/>
  <c r="BK149" i="6"/>
  <c r="BK125" i="6"/>
  <c r="J122" i="6"/>
  <c r="J112" i="6"/>
  <c r="J91" i="6"/>
  <c r="J252" i="5"/>
  <c r="J238" i="5"/>
  <c r="J237" i="5"/>
  <c r="J228" i="5"/>
  <c r="BK222" i="5"/>
  <c r="J197" i="5"/>
  <c r="BK160" i="5"/>
  <c r="BK154" i="5"/>
  <c r="J147" i="5"/>
  <c r="BK142" i="5"/>
  <c r="BK138" i="5"/>
  <c r="BK134" i="5"/>
  <c r="J129" i="5"/>
  <c r="BK120" i="5"/>
  <c r="BK115" i="5"/>
  <c r="J110" i="5"/>
  <c r="BK104" i="5"/>
  <c r="J92" i="5"/>
  <c r="J179" i="4"/>
  <c r="BK172" i="4"/>
  <c r="J160" i="4"/>
  <c r="BK140" i="4"/>
  <c r="BK114" i="4"/>
  <c r="BK108" i="4"/>
  <c r="BK302" i="3"/>
  <c r="BK292" i="3"/>
  <c r="J285" i="3"/>
  <c r="J273" i="3"/>
  <c r="BK266" i="3"/>
  <c r="BK250" i="3"/>
  <c r="J238" i="3"/>
  <c r="BK232" i="3"/>
  <c r="J226" i="3"/>
  <c r="BK199" i="3"/>
  <c r="BK193" i="3"/>
  <c r="BK178" i="3"/>
  <c r="J166" i="3"/>
  <c r="J158" i="3"/>
  <c r="J152" i="3"/>
  <c r="J147" i="3"/>
  <c r="J140" i="3"/>
  <c r="BK130" i="3"/>
  <c r="BK111" i="3"/>
  <c r="BK100" i="3"/>
  <c r="BK97" i="3"/>
  <c r="BK598" i="2"/>
  <c r="BK595" i="2"/>
  <c r="BK594" i="2"/>
  <c r="J582" i="2"/>
  <c r="J580" i="2"/>
  <c r="BK571" i="2"/>
  <c r="J567" i="2"/>
  <c r="J557" i="2"/>
  <c r="J553" i="2"/>
  <c r="BK546" i="2"/>
  <c r="J533" i="2"/>
  <c r="J515" i="2"/>
  <c r="J505" i="2"/>
  <c r="BK484" i="2"/>
  <c r="BK461" i="2"/>
  <c r="J441" i="2"/>
  <c r="J430" i="2"/>
  <c r="J394" i="2"/>
  <c r="BK386" i="2"/>
  <c r="BK375" i="2"/>
  <c r="J369" i="2"/>
  <c r="BK365" i="2"/>
  <c r="J355" i="2"/>
  <c r="BK344" i="2"/>
  <c r="BK341" i="2"/>
  <c r="BK333" i="2"/>
  <c r="J321" i="2"/>
  <c r="BK301" i="2"/>
  <c r="BK298" i="2"/>
  <c r="BK166" i="6"/>
  <c r="J145" i="6"/>
  <c r="J140" i="6"/>
  <c r="BK122" i="6"/>
  <c r="J115" i="6"/>
  <c r="J110" i="6"/>
  <c r="BK101" i="6"/>
  <c r="BK98" i="6"/>
  <c r="J230" i="5"/>
  <c r="J205" i="5"/>
  <c r="J189" i="5"/>
  <c r="BK180" i="5"/>
  <c r="J165" i="5"/>
  <c r="J157" i="5"/>
  <c r="J139" i="5"/>
  <c r="J108" i="5"/>
  <c r="BK96" i="5"/>
  <c r="J183" i="4"/>
  <c r="J168" i="4"/>
  <c r="BK156" i="4"/>
  <c r="J146" i="4"/>
  <c r="BK117" i="4"/>
  <c r="BK103" i="4"/>
  <c r="J315" i="3"/>
  <c r="J271" i="3"/>
  <c r="J268" i="3"/>
  <c r="BK223" i="3"/>
  <c r="BK190" i="3"/>
  <c r="BK268" i="2"/>
  <c r="BK247" i="2"/>
  <c r="BK242" i="2"/>
  <c r="J200" i="2"/>
  <c r="BK185" i="2"/>
  <c r="BK173" i="2"/>
  <c r="BK168" i="2"/>
  <c r="BK167" i="2"/>
  <c r="BK159" i="2"/>
  <c r="BK147" i="2"/>
  <c r="J132" i="2"/>
  <c r="BK129" i="2"/>
  <c r="BK109" i="2"/>
  <c r="J156" i="6"/>
  <c r="BK139" i="6"/>
  <c r="BK136" i="6"/>
  <c r="BK110" i="6"/>
  <c r="J94" i="6"/>
  <c r="BK91" i="6"/>
  <c r="BK233" i="5"/>
  <c r="BK228" i="5"/>
  <c r="J201" i="5"/>
  <c r="BK196" i="5"/>
  <c r="J193" i="5"/>
  <c r="BK189" i="5"/>
  <c r="BK185" i="5"/>
  <c r="J180" i="5"/>
  <c r="J154" i="5"/>
  <c r="BK149" i="5"/>
  <c r="J144" i="5"/>
  <c r="J138" i="5"/>
  <c r="J134" i="5"/>
  <c r="BK129" i="5"/>
  <c r="BK122" i="5"/>
  <c r="BK118" i="5"/>
  <c r="BK113" i="5"/>
  <c r="J104" i="5"/>
  <c r="J101" i="5"/>
  <c r="BK185" i="4"/>
  <c r="J185" i="4"/>
  <c r="J181" i="4"/>
  <c r="J177" i="4"/>
  <c r="J172" i="4"/>
  <c r="J162" i="4"/>
  <c r="J156" i="4"/>
  <c r="J148" i="4"/>
  <c r="J140" i="4"/>
  <c r="BK124" i="4"/>
  <c r="BK122" i="4"/>
  <c r="J117" i="4"/>
  <c r="BK112" i="4"/>
  <c r="J108" i="4"/>
  <c r="BK105" i="4"/>
  <c r="J103" i="4"/>
  <c r="J319" i="3"/>
  <c r="J308" i="3"/>
  <c r="BK295" i="3"/>
  <c r="J292" i="3"/>
  <c r="BK285" i="3"/>
  <c r="BK277" i="3"/>
  <c r="BK271" i="3"/>
  <c r="J266" i="3"/>
  <c r="J258" i="3"/>
  <c r="J250" i="3"/>
  <c r="BK241" i="3"/>
  <c r="BK235" i="3"/>
  <c r="J232" i="3"/>
  <c r="BK226" i="3"/>
  <c r="BK212" i="3"/>
  <c r="BK211" i="3"/>
  <c r="J199" i="3"/>
  <c r="J193" i="3"/>
  <c r="J174" i="3"/>
  <c r="BK166" i="3"/>
  <c r="BK162" i="3"/>
  <c r="BK158" i="3"/>
  <c r="BK152" i="3"/>
  <c r="J150" i="3"/>
  <c r="BK145" i="3"/>
  <c r="BK140" i="3"/>
  <c r="J130" i="3"/>
  <c r="BK115" i="3"/>
  <c r="J104" i="3"/>
  <c r="J100" i="3"/>
  <c r="J97" i="3"/>
  <c r="J571" i="2"/>
  <c r="BK563" i="2"/>
  <c r="J560" i="2"/>
  <c r="J554" i="2"/>
  <c r="BK553" i="2"/>
  <c r="BK533" i="2"/>
  <c r="J517" i="2"/>
  <c r="J507" i="2"/>
  <c r="J503" i="2"/>
  <c r="J502" i="2"/>
  <c r="BK466" i="2"/>
  <c r="BK464" i="2"/>
  <c r="J447" i="2"/>
  <c r="BK438" i="2"/>
  <c r="BK430" i="2"/>
  <c r="J419" i="2"/>
  <c r="J386" i="2"/>
  <c r="J375" i="2"/>
  <c r="BK373" i="2"/>
  <c r="BK363" i="2"/>
  <c r="BK355" i="2"/>
  <c r="J337" i="2"/>
  <c r="J333" i="2"/>
  <c r="BK321" i="2"/>
  <c r="J301" i="2"/>
  <c r="J295" i="2"/>
  <c r="J277" i="2"/>
  <c r="J239" i="2"/>
  <c r="BK193" i="2"/>
  <c r="J167" i="2"/>
  <c r="J155" i="2"/>
  <c r="J126" i="2"/>
  <c r="J102" i="2"/>
  <c r="J87" i="7"/>
  <c r="J166" i="6"/>
  <c r="J157" i="6"/>
  <c r="BK152" i="6"/>
  <c r="BK148" i="6"/>
  <c r="BK145" i="6"/>
  <c r="BK140" i="6"/>
  <c r="J136" i="6"/>
  <c r="BK127" i="6"/>
  <c r="BK118" i="6"/>
  <c r="J105" i="6"/>
  <c r="J98" i="6"/>
  <c r="BK242" i="5"/>
  <c r="BK237" i="5"/>
  <c r="J234" i="5"/>
  <c r="BK224" i="5"/>
  <c r="BK211" i="5"/>
  <c r="BK205" i="5"/>
  <c r="BK201" i="5"/>
  <c r="BK193" i="5"/>
  <c r="J192" i="5"/>
  <c r="J185" i="5"/>
  <c r="J183" i="5"/>
  <c r="BK165" i="5"/>
  <c r="BK279" i="2"/>
  <c r="J268" i="2"/>
  <c r="J247" i="2"/>
  <c r="J244" i="2"/>
  <c r="BK237" i="2"/>
  <c r="J219" i="2"/>
  <c r="BK200" i="2"/>
  <c r="J185" i="2"/>
  <c r="BK176" i="2"/>
  <c r="J173" i="2"/>
  <c r="J168" i="2"/>
  <c r="J159" i="2"/>
  <c r="J147" i="2"/>
  <c r="BK139" i="2"/>
  <c r="BK126" i="2"/>
  <c r="J109" i="2"/>
  <c r="AS54" i="1"/>
  <c r="J88" i="8"/>
  <c r="BK85" i="8"/>
  <c r="BK85" i="7"/>
  <c r="J164" i="6"/>
  <c r="J154" i="6"/>
  <c r="J127" i="6"/>
  <c r="BK115" i="6"/>
  <c r="J101" i="6"/>
  <c r="BK94" i="6"/>
  <c r="BK252" i="5"/>
  <c r="J248" i="5"/>
  <c r="J239" i="5"/>
  <c r="BK234" i="5"/>
  <c r="J224" i="5"/>
  <c r="J218" i="5"/>
  <c r="J211" i="5"/>
  <c r="J208" i="5"/>
  <c r="J196" i="5"/>
  <c r="BK157" i="5"/>
  <c r="J152" i="5"/>
  <c r="BK144" i="5"/>
  <c r="BK139" i="5"/>
  <c r="J135" i="5"/>
  <c r="J131" i="5"/>
  <c r="BK126" i="5"/>
  <c r="J118" i="5"/>
  <c r="J113" i="5"/>
  <c r="BK108" i="5"/>
  <c r="J96" i="5"/>
  <c r="BK181" i="4"/>
  <c r="BK177" i="4"/>
  <c r="BK174" i="4"/>
  <c r="BK162" i="4"/>
  <c r="BK148" i="4"/>
  <c r="BK126" i="4"/>
  <c r="J122" i="4"/>
  <c r="BK119" i="4"/>
  <c r="J112" i="4"/>
  <c r="J105" i="4"/>
  <c r="BK99" i="4"/>
  <c r="BK95" i="4"/>
  <c r="BK309" i="3"/>
  <c r="BK308" i="3"/>
  <c r="J295" i="3"/>
  <c r="BK293" i="3"/>
  <c r="J291" i="3"/>
  <c r="J281" i="3"/>
  <c r="J277" i="3"/>
  <c r="BK268" i="3"/>
  <c r="BK265" i="3"/>
  <c r="BK258" i="3"/>
  <c r="BK242" i="3"/>
  <c r="J241" i="3"/>
  <c r="J235" i="3"/>
  <c r="J229" i="3"/>
  <c r="J223" i="3"/>
  <c r="J212" i="3"/>
  <c r="J211" i="3"/>
  <c r="J207" i="3"/>
  <c r="J190" i="3"/>
  <c r="BK174" i="3"/>
  <c r="BK170" i="3"/>
  <c r="J162" i="3"/>
  <c r="J154" i="3"/>
  <c r="BK150" i="3"/>
  <c r="J145" i="3"/>
  <c r="J142" i="3"/>
  <c r="J136" i="3"/>
  <c r="BK127" i="3"/>
  <c r="J124" i="3"/>
  <c r="BK122" i="3"/>
  <c r="J115" i="3"/>
  <c r="BK104" i="3"/>
  <c r="J598" i="2"/>
  <c r="BK596" i="2"/>
  <c r="J596" i="2"/>
  <c r="J595" i="2"/>
  <c r="J594" i="2"/>
  <c r="BK582" i="2"/>
  <c r="BK580" i="2"/>
  <c r="BK573" i="2"/>
  <c r="J573" i="2"/>
  <c r="J563" i="2"/>
  <c r="BK560" i="2"/>
  <c r="BK554" i="2"/>
  <c r="J552" i="2"/>
  <c r="J546" i="2"/>
  <c r="BK525" i="2"/>
  <c r="BK517" i="2"/>
  <c r="BK507" i="2"/>
  <c r="BK503" i="2"/>
  <c r="BK502" i="2"/>
  <c r="J466" i="2"/>
  <c r="J464" i="2"/>
  <c r="J448" i="2"/>
  <c r="BK447" i="2"/>
  <c r="J438" i="2"/>
  <c r="J427" i="2"/>
  <c r="BK419" i="2"/>
  <c r="J406" i="2"/>
  <c r="J383" i="2"/>
  <c r="J373" i="2"/>
  <c r="J363" i="2"/>
  <c r="BK337" i="2"/>
  <c r="BK327" i="2"/>
  <c r="J311" i="2"/>
  <c r="J305" i="2"/>
  <c r="J85" i="8"/>
  <c r="BK87" i="7"/>
  <c r="J143" i="6"/>
  <c r="J139" i="6"/>
  <c r="BK112" i="6"/>
  <c r="BK105" i="6"/>
  <c r="BK248" i="5"/>
  <c r="J242" i="5"/>
  <c r="BK208" i="5"/>
  <c r="BK200" i="5"/>
  <c r="J168" i="5"/>
  <c r="J149" i="5"/>
  <c r="J122" i="5"/>
  <c r="BK101" i="5"/>
  <c r="J174" i="4"/>
  <c r="J124" i="4"/>
  <c r="J95" i="4"/>
  <c r="BK269" i="3"/>
  <c r="J216" i="3"/>
  <c r="J182" i="3"/>
  <c r="BK244" i="2"/>
  <c r="BK239" i="2"/>
  <c r="BK219" i="2"/>
  <c r="J176" i="2"/>
  <c r="BK170" i="2"/>
  <c r="J166" i="2"/>
  <c r="BK102" i="2"/>
  <c r="J34" i="8"/>
  <c r="BK157" i="6"/>
  <c r="J152" i="6"/>
  <c r="J148" i="6"/>
  <c r="J118" i="6"/>
  <c r="J107" i="6"/>
  <c r="BK250" i="5"/>
  <c r="BK238" i="5"/>
  <c r="BK230" i="5"/>
  <c r="BK218" i="5"/>
  <c r="BK204" i="5"/>
  <c r="BK197" i="5"/>
  <c r="BK192" i="5"/>
  <c r="J188" i="5"/>
  <c r="BK183" i="5"/>
  <c r="J163" i="5"/>
  <c r="J160" i="5"/>
  <c r="BK152" i="5"/>
  <c r="BK147" i="5"/>
  <c r="J142" i="5"/>
  <c r="BK135" i="5"/>
  <c r="BK131" i="5"/>
  <c r="J126" i="5"/>
  <c r="J120" i="5"/>
  <c r="J115" i="5"/>
  <c r="BK110" i="5"/>
  <c r="BK92" i="5"/>
  <c r="BK183" i="4"/>
  <c r="BK179" i="4"/>
  <c r="BK168" i="4"/>
  <c r="BK160" i="4"/>
  <c r="BK146" i="4"/>
  <c r="J126" i="4"/>
  <c r="J119" i="4"/>
  <c r="J114" i="4"/>
  <c r="J99" i="4"/>
  <c r="BK319" i="3"/>
  <c r="BK315" i="3"/>
  <c r="J309" i="3"/>
  <c r="J302" i="3"/>
  <c r="H310" i="3" s="1"/>
  <c r="J293" i="3"/>
  <c r="BK291" i="3"/>
  <c r="BK281" i="3"/>
  <c r="BK273" i="3"/>
  <c r="J269" i="3"/>
  <c r="J265" i="3"/>
  <c r="J242" i="3"/>
  <c r="BK238" i="3"/>
  <c r="BK229" i="3"/>
  <c r="BK216" i="3"/>
  <c r="BK207" i="3"/>
  <c r="BK182" i="3"/>
  <c r="J178" i="3"/>
  <c r="J170" i="3"/>
  <c r="BK154" i="3"/>
  <c r="BK147" i="3"/>
  <c r="BK142" i="3"/>
  <c r="BK136" i="3"/>
  <c r="J127" i="3"/>
  <c r="BK124" i="3"/>
  <c r="J122" i="3"/>
  <c r="J111" i="3"/>
  <c r="BK567" i="2"/>
  <c r="BK557" i="2"/>
  <c r="BK552" i="2"/>
  <c r="J525" i="2"/>
  <c r="BK515" i="2"/>
  <c r="BK505" i="2"/>
  <c r="J484" i="2"/>
  <c r="J461" i="2"/>
  <c r="BK448" i="2"/>
  <c r="BK441" i="2"/>
  <c r="BK427" i="2"/>
  <c r="BK406" i="2"/>
  <c r="BK394" i="2"/>
  <c r="BK383" i="2"/>
  <c r="BK369" i="2"/>
  <c r="J365" i="2"/>
  <c r="J344" i="2"/>
  <c r="J341" i="2"/>
  <c r="J327" i="2"/>
  <c r="BK311" i="2"/>
  <c r="BK305" i="2"/>
  <c r="J298" i="2"/>
  <c r="J279" i="2"/>
  <c r="BK250" i="2"/>
  <c r="J237" i="2"/>
  <c r="J208" i="2"/>
  <c r="J180" i="2"/>
  <c r="J139" i="2"/>
  <c r="J85" i="7"/>
  <c r="BK164" i="6"/>
  <c r="BK154" i="6"/>
  <c r="J149" i="6"/>
  <c r="BK143" i="6"/>
  <c r="J125" i="6"/>
  <c r="BK107" i="6"/>
  <c r="J250" i="5"/>
  <c r="BK239" i="5"/>
  <c r="J233" i="5"/>
  <c r="J222" i="5"/>
  <c r="J204" i="5"/>
  <c r="J200" i="5"/>
  <c r="BK188" i="5"/>
  <c r="BK168" i="5"/>
  <c r="BK163" i="5"/>
  <c r="BK295" i="2"/>
  <c r="BK277" i="2"/>
  <c r="J250" i="2"/>
  <c r="J242" i="2"/>
  <c r="BK208" i="2"/>
  <c r="J193" i="2"/>
  <c r="BK180" i="2"/>
  <c r="J170" i="2"/>
  <c r="BK166" i="2"/>
  <c r="BK155" i="2"/>
  <c r="BK132" i="2"/>
  <c r="J129" i="2"/>
  <c r="H89" i="7" l="1"/>
  <c r="H91" i="7" s="1"/>
  <c r="T91" i="7" s="1"/>
  <c r="H213" i="5"/>
  <c r="H215" i="5" s="1"/>
  <c r="H243" i="5"/>
  <c r="H245" i="5" s="1"/>
  <c r="J180" i="4"/>
  <c r="H297" i="3"/>
  <c r="H151" i="4"/>
  <c r="H153" i="4" s="1"/>
  <c r="H541" i="2"/>
  <c r="H414" i="2"/>
  <c r="H456" i="2"/>
  <c r="J91" i="7"/>
  <c r="BE91" i="7" s="1"/>
  <c r="BK91" i="7"/>
  <c r="P91" i="7"/>
  <c r="R91" i="7"/>
  <c r="H350" i="2"/>
  <c r="H281" i="2"/>
  <c r="H218" i="3"/>
  <c r="H220" i="3" s="1"/>
  <c r="H185" i="3"/>
  <c r="H187" i="3" s="1"/>
  <c r="H159" i="6"/>
  <c r="H312" i="3"/>
  <c r="P312" i="3" s="1"/>
  <c r="P83" i="8"/>
  <c r="P82" i="8" s="1"/>
  <c r="AU61" i="1" s="1"/>
  <c r="H129" i="6"/>
  <c r="H163" i="4"/>
  <c r="T83" i="8"/>
  <c r="T82" i="8" s="1"/>
  <c r="R83" i="8"/>
  <c r="R82" i="8" s="1"/>
  <c r="P91" i="5"/>
  <c r="BK100" i="5"/>
  <c r="J100" i="5" s="1"/>
  <c r="J63" i="5" s="1"/>
  <c r="BK107" i="5"/>
  <c r="J107" i="5" s="1"/>
  <c r="J64" i="5" s="1"/>
  <c r="R247" i="5"/>
  <c r="BK97" i="6"/>
  <c r="J97" i="6" s="1"/>
  <c r="J62" i="6" s="1"/>
  <c r="T97" i="6"/>
  <c r="R104" i="6"/>
  <c r="P163" i="6"/>
  <c r="BK95" i="2"/>
  <c r="R95" i="2"/>
  <c r="BK158" i="2"/>
  <c r="R158" i="2"/>
  <c r="BK184" i="2"/>
  <c r="J184" i="2" s="1"/>
  <c r="J63" i="2" s="1"/>
  <c r="R184" i="2"/>
  <c r="BK236" i="2"/>
  <c r="J236" i="2" s="1"/>
  <c r="J64" i="2" s="1"/>
  <c r="R236" i="2"/>
  <c r="BK545" i="2"/>
  <c r="J545" i="2" s="1"/>
  <c r="J72" i="2" s="1"/>
  <c r="R545" i="2"/>
  <c r="BK566" i="2"/>
  <c r="J566" i="2" s="1"/>
  <c r="J73" i="2" s="1"/>
  <c r="R566" i="2"/>
  <c r="BK96" i="3"/>
  <c r="J96" i="3" s="1"/>
  <c r="J61" i="3" s="1"/>
  <c r="R96" i="3"/>
  <c r="P114" i="3"/>
  <c r="BK123" i="3"/>
  <c r="J123" i="3" s="1"/>
  <c r="J64" i="3" s="1"/>
  <c r="T123" i="3"/>
  <c r="R139" i="3"/>
  <c r="BK94" i="4"/>
  <c r="R94" i="4"/>
  <c r="P98" i="4"/>
  <c r="R98" i="4"/>
  <c r="R104" i="4"/>
  <c r="T104" i="4"/>
  <c r="R111" i="4"/>
  <c r="T167" i="4"/>
  <c r="P176" i="4"/>
  <c r="BK180" i="4"/>
  <c r="J72" i="4" s="1"/>
  <c r="T180" i="4"/>
  <c r="BK91" i="5"/>
  <c r="T91" i="5"/>
  <c r="P100" i="5"/>
  <c r="R107" i="5"/>
  <c r="T247" i="5"/>
  <c r="P90" i="6"/>
  <c r="R97" i="6"/>
  <c r="P104" i="6"/>
  <c r="T163" i="6"/>
  <c r="P96" i="3"/>
  <c r="R114" i="3"/>
  <c r="R123" i="3"/>
  <c r="T139" i="3"/>
  <c r="BK98" i="4"/>
  <c r="J98" i="4" s="1"/>
  <c r="J62" i="4" s="1"/>
  <c r="BK104" i="4"/>
  <c r="J104" i="4" s="1"/>
  <c r="J63" i="4" s="1"/>
  <c r="P111" i="4"/>
  <c r="R167" i="4"/>
  <c r="R176" i="4"/>
  <c r="P180" i="4"/>
  <c r="R100" i="5"/>
  <c r="T107" i="5"/>
  <c r="BK247" i="5"/>
  <c r="J247" i="5" s="1"/>
  <c r="J69" i="5" s="1"/>
  <c r="R90" i="6"/>
  <c r="BK104" i="6"/>
  <c r="J104" i="6" s="1"/>
  <c r="J63" i="6" s="1"/>
  <c r="BK163" i="6"/>
  <c r="J163" i="6" s="1"/>
  <c r="J68" i="6" s="1"/>
  <c r="P95" i="2"/>
  <c r="T95" i="2"/>
  <c r="P158" i="2"/>
  <c r="T158" i="2"/>
  <c r="P184" i="2"/>
  <c r="T184" i="2"/>
  <c r="P236" i="2"/>
  <c r="T236" i="2"/>
  <c r="P545" i="2"/>
  <c r="T545" i="2"/>
  <c r="P566" i="2"/>
  <c r="T566" i="2"/>
  <c r="T96" i="3"/>
  <c r="BK114" i="3"/>
  <c r="J114" i="3" s="1"/>
  <c r="J63" i="3" s="1"/>
  <c r="T114" i="3"/>
  <c r="P123" i="3"/>
  <c r="BK139" i="3"/>
  <c r="J139" i="3" s="1"/>
  <c r="J65" i="3" s="1"/>
  <c r="P139" i="3"/>
  <c r="P94" i="4"/>
  <c r="T94" i="4"/>
  <c r="T98" i="4"/>
  <c r="P104" i="4"/>
  <c r="BK111" i="4"/>
  <c r="J111" i="4" s="1"/>
  <c r="J64" i="4" s="1"/>
  <c r="T111" i="4"/>
  <c r="BK167" i="4"/>
  <c r="J167" i="4" s="1"/>
  <c r="J70" i="4" s="1"/>
  <c r="P167" i="4"/>
  <c r="BK176" i="4"/>
  <c r="J176" i="4" s="1"/>
  <c r="J71" i="4" s="1"/>
  <c r="T176" i="4"/>
  <c r="R180" i="4"/>
  <c r="R91" i="5"/>
  <c r="T100" i="5"/>
  <c r="P107" i="5"/>
  <c r="P247" i="5"/>
  <c r="BK90" i="6"/>
  <c r="T90" i="6"/>
  <c r="P97" i="6"/>
  <c r="T104" i="6"/>
  <c r="R163" i="6"/>
  <c r="F55" i="2"/>
  <c r="E83" i="2"/>
  <c r="J87" i="2"/>
  <c r="BE102" i="2"/>
  <c r="BE126" i="2"/>
  <c r="BE132" i="2"/>
  <c r="BE139" i="2"/>
  <c r="BE147" i="2"/>
  <c r="BE159" i="2"/>
  <c r="BE168" i="2"/>
  <c r="BE180" i="2"/>
  <c r="BE185" i="2"/>
  <c r="BE208" i="2"/>
  <c r="BE239" i="2"/>
  <c r="BE242" i="2"/>
  <c r="BE244" i="2"/>
  <c r="BE250" i="2"/>
  <c r="BE279" i="2"/>
  <c r="BE157" i="5"/>
  <c r="BE188" i="5"/>
  <c r="BE197" i="5"/>
  <c r="BE208" i="5"/>
  <c r="BE218" i="5"/>
  <c r="BE222" i="5"/>
  <c r="BE239" i="5"/>
  <c r="BE248" i="5"/>
  <c r="F55" i="6"/>
  <c r="J82" i="6"/>
  <c r="J85" i="6"/>
  <c r="BE91" i="6"/>
  <c r="BE94" i="6"/>
  <c r="BE110" i="6"/>
  <c r="BE112" i="6"/>
  <c r="BE115" i="6"/>
  <c r="J52" i="7"/>
  <c r="J79" i="7"/>
  <c r="BE129" i="2"/>
  <c r="BE166" i="2"/>
  <c r="BE170" i="2"/>
  <c r="BE176" i="2"/>
  <c r="BE200" i="2"/>
  <c r="BE219" i="2"/>
  <c r="BE247" i="2"/>
  <c r="BE295" i="2"/>
  <c r="BE327" i="2"/>
  <c r="BE337" i="2"/>
  <c r="BE341" i="2"/>
  <c r="BE355" i="2"/>
  <c r="BE373" i="2"/>
  <c r="BE375" i="2"/>
  <c r="BE386" i="2"/>
  <c r="BE406" i="2"/>
  <c r="BE419" i="2"/>
  <c r="BE430" i="2"/>
  <c r="BE438" i="2"/>
  <c r="BE441" i="2"/>
  <c r="BE447" i="2"/>
  <c r="BE461" i="2"/>
  <c r="BE464" i="2"/>
  <c r="BE507" i="2"/>
  <c r="BE525" i="2"/>
  <c r="BE533" i="2"/>
  <c r="BE546" i="2"/>
  <c r="BE552" i="2"/>
  <c r="BE554" i="2"/>
  <c r="BE557" i="2"/>
  <c r="BE560" i="2"/>
  <c r="BK249" i="2"/>
  <c r="J249" i="2" s="1"/>
  <c r="J65" i="2" s="1"/>
  <c r="E48" i="3"/>
  <c r="F55" i="3"/>
  <c r="J88" i="3"/>
  <c r="BE97" i="3"/>
  <c r="BE104" i="3"/>
  <c r="BE111" i="3"/>
  <c r="BE124" i="3"/>
  <c r="BE127" i="3"/>
  <c r="BE130" i="3"/>
  <c r="BE140" i="3"/>
  <c r="BE142" i="3"/>
  <c r="BE147" i="3"/>
  <c r="BE150" i="3"/>
  <c r="BE158" i="3"/>
  <c r="BE162" i="3"/>
  <c r="BE178" i="3"/>
  <c r="BE211" i="3"/>
  <c r="BE212" i="3"/>
  <c r="BE216" i="3"/>
  <c r="BE223" i="3"/>
  <c r="BE241" i="3"/>
  <c r="BE250" i="3"/>
  <c r="BE269" i="3"/>
  <c r="BE271" i="3"/>
  <c r="BE291" i="3"/>
  <c r="BE292" i="3"/>
  <c r="BE302" i="3"/>
  <c r="BE315" i="3"/>
  <c r="BE319" i="3"/>
  <c r="E48" i="4"/>
  <c r="J52" i="4"/>
  <c r="J55" i="4"/>
  <c r="BE95" i="4"/>
  <c r="BE99" i="4"/>
  <c r="BE103" i="4"/>
  <c r="BE114" i="4"/>
  <c r="BE119" i="4"/>
  <c r="BE122" i="4"/>
  <c r="BE124" i="4"/>
  <c r="BE156" i="4"/>
  <c r="BE160" i="4"/>
  <c r="BE168" i="4"/>
  <c r="BE174" i="4"/>
  <c r="BE179" i="4"/>
  <c r="BE181" i="4"/>
  <c r="BE183" i="4"/>
  <c r="BE185" i="4"/>
  <c r="E48" i="5"/>
  <c r="F55" i="5"/>
  <c r="J83" i="5"/>
  <c r="BE96" i="5"/>
  <c r="BE101" i="5"/>
  <c r="BE108" i="5"/>
  <c r="BE110" i="5"/>
  <c r="BE113" i="5"/>
  <c r="BE129" i="5"/>
  <c r="BE134" i="5"/>
  <c r="BE152" i="5"/>
  <c r="BE154" i="5"/>
  <c r="BE180" i="5"/>
  <c r="BE211" i="5"/>
  <c r="BE224" i="5"/>
  <c r="BE242" i="5"/>
  <c r="BK121" i="5"/>
  <c r="J121" i="5" s="1"/>
  <c r="J65" i="5" s="1"/>
  <c r="E48" i="6"/>
  <c r="BE98" i="6"/>
  <c r="BE101" i="6"/>
  <c r="BE122" i="6"/>
  <c r="BE125" i="6"/>
  <c r="BE139" i="6"/>
  <c r="BE143" i="6"/>
  <c r="BE148" i="6"/>
  <c r="BE152" i="6"/>
  <c r="BE164" i="6"/>
  <c r="BE87" i="7"/>
  <c r="J55" i="2"/>
  <c r="BE109" i="2"/>
  <c r="BE155" i="2"/>
  <c r="BE167" i="2"/>
  <c r="BE173" i="2"/>
  <c r="BE193" i="2"/>
  <c r="BE237" i="2"/>
  <c r="BE268" i="2"/>
  <c r="BE277" i="2"/>
  <c r="BE229" i="3"/>
  <c r="BE235" i="3"/>
  <c r="BE238" i="3"/>
  <c r="BE242" i="3"/>
  <c r="BE258" i="3"/>
  <c r="BE265" i="3"/>
  <c r="BE273" i="3"/>
  <c r="BE281" i="3"/>
  <c r="BE293" i="3"/>
  <c r="BE308" i="3"/>
  <c r="BE309" i="3"/>
  <c r="BK110" i="3"/>
  <c r="J110" i="3" s="1"/>
  <c r="J62" i="3" s="1"/>
  <c r="BK314" i="3"/>
  <c r="J314" i="3" s="1"/>
  <c r="J72" i="3" s="1"/>
  <c r="F55" i="4"/>
  <c r="BE112" i="4"/>
  <c r="BE140" i="4"/>
  <c r="BE162" i="4"/>
  <c r="BK125" i="4"/>
  <c r="J125" i="4" s="1"/>
  <c r="J65" i="4" s="1"/>
  <c r="BE92" i="5"/>
  <c r="BE115" i="5"/>
  <c r="BE126" i="5"/>
  <c r="BE135" i="5"/>
  <c r="BE138" i="5"/>
  <c r="BE139" i="5"/>
  <c r="BE144" i="5"/>
  <c r="BE163" i="5"/>
  <c r="BE185" i="5"/>
  <c r="BE192" i="5"/>
  <c r="BE193" i="5"/>
  <c r="BE196" i="5"/>
  <c r="BE201" i="5"/>
  <c r="BE233" i="5"/>
  <c r="BE237" i="5"/>
  <c r="BE238" i="5"/>
  <c r="BE250" i="5"/>
  <c r="BK95" i="5"/>
  <c r="J95" i="5" s="1"/>
  <c r="J62" i="5" s="1"/>
  <c r="BE127" i="6"/>
  <c r="BE136" i="6"/>
  <c r="BE145" i="6"/>
  <c r="BE149" i="6"/>
  <c r="BE154" i="6"/>
  <c r="BE156" i="6"/>
  <c r="BE157" i="6"/>
  <c r="BE166" i="6"/>
  <c r="BK117" i="6"/>
  <c r="J117" i="6" s="1"/>
  <c r="J64" i="6" s="1"/>
  <c r="BE85" i="7"/>
  <c r="J55" i="8"/>
  <c r="E72" i="8"/>
  <c r="BE298" i="2"/>
  <c r="BE301" i="2"/>
  <c r="BE305" i="2"/>
  <c r="BE311" i="2"/>
  <c r="BE321" i="2"/>
  <c r="BE333" i="2"/>
  <c r="BE344" i="2"/>
  <c r="BE363" i="2"/>
  <c r="BE365" i="2"/>
  <c r="BE369" i="2"/>
  <c r="BE383" i="2"/>
  <c r="BE394" i="2"/>
  <c r="BE427" i="2"/>
  <c r="BE448" i="2"/>
  <c r="BE466" i="2"/>
  <c r="BE484" i="2"/>
  <c r="BE502" i="2"/>
  <c r="BE503" i="2"/>
  <c r="BE505" i="2"/>
  <c r="BE515" i="2"/>
  <c r="BE517" i="2"/>
  <c r="BE553" i="2"/>
  <c r="BE563" i="2"/>
  <c r="BE567" i="2"/>
  <c r="BE571" i="2"/>
  <c r="BE573" i="2"/>
  <c r="BE580" i="2"/>
  <c r="BE582" i="2"/>
  <c r="BE594" i="2"/>
  <c r="BE595" i="2"/>
  <c r="BE596" i="2"/>
  <c r="BE598" i="2"/>
  <c r="BK418" i="2"/>
  <c r="J55" i="3"/>
  <c r="BE100" i="3"/>
  <c r="BE115" i="3"/>
  <c r="BE122" i="3"/>
  <c r="BE136" i="3"/>
  <c r="BE145" i="3"/>
  <c r="BE152" i="3"/>
  <c r="BE154" i="3"/>
  <c r="BE166" i="3"/>
  <c r="BE170" i="3"/>
  <c r="BE174" i="3"/>
  <c r="BE182" i="3"/>
  <c r="BE190" i="3"/>
  <c r="BE193" i="3"/>
  <c r="BE199" i="3"/>
  <c r="BE207" i="3"/>
  <c r="BE226" i="3"/>
  <c r="BE232" i="3"/>
  <c r="BE266" i="3"/>
  <c r="BE268" i="3"/>
  <c r="BE277" i="3"/>
  <c r="BE285" i="3"/>
  <c r="BE295" i="3"/>
  <c r="BK153" i="3"/>
  <c r="J153" i="3" s="1"/>
  <c r="J66" i="3" s="1"/>
  <c r="BK318" i="3"/>
  <c r="BK317" i="3" s="1"/>
  <c r="J317" i="3" s="1"/>
  <c r="J73" i="3" s="1"/>
  <c r="BE105" i="4"/>
  <c r="BE108" i="4"/>
  <c r="BE117" i="4"/>
  <c r="BE126" i="4"/>
  <c r="BE146" i="4"/>
  <c r="BE148" i="4"/>
  <c r="BE172" i="4"/>
  <c r="BE177" i="4"/>
  <c r="J55" i="5"/>
  <c r="BE104" i="5"/>
  <c r="BE118" i="5"/>
  <c r="BE120" i="5"/>
  <c r="BE122" i="5"/>
  <c r="BE131" i="5"/>
  <c r="BE142" i="5"/>
  <c r="BE147" i="5"/>
  <c r="BE149" i="5"/>
  <c r="BE160" i="5"/>
  <c r="BE165" i="5"/>
  <c r="BE168" i="5"/>
  <c r="BE183" i="5"/>
  <c r="BE189" i="5"/>
  <c r="BE200" i="5"/>
  <c r="BE204" i="5"/>
  <c r="BE205" i="5"/>
  <c r="BE228" i="5"/>
  <c r="BE230" i="5"/>
  <c r="BE234" i="5"/>
  <c r="BE252" i="5"/>
  <c r="BE105" i="6"/>
  <c r="BE107" i="6"/>
  <c r="BE118" i="6"/>
  <c r="BE140" i="6"/>
  <c r="E48" i="7"/>
  <c r="F55" i="7"/>
  <c r="J52" i="8"/>
  <c r="F55" i="8"/>
  <c r="BE85" i="8"/>
  <c r="BE88" i="8"/>
  <c r="AW61" i="1"/>
  <c r="BK84" i="8"/>
  <c r="J84" i="8" s="1"/>
  <c r="BK87" i="8"/>
  <c r="J87" i="8" s="1"/>
  <c r="J62" i="8" s="1"/>
  <c r="F37" i="3"/>
  <c r="BD56" i="1" s="1"/>
  <c r="F36" i="7"/>
  <c r="BC60" i="1" s="1"/>
  <c r="F37" i="2"/>
  <c r="BD55" i="1" s="1"/>
  <c r="F37" i="5"/>
  <c r="BD58" i="1" s="1"/>
  <c r="F36" i="3"/>
  <c r="BC56" i="1" s="1"/>
  <c r="F34" i="4"/>
  <c r="BA57" i="1" s="1"/>
  <c r="F34" i="7"/>
  <c r="BA60" i="1" s="1"/>
  <c r="F34" i="8"/>
  <c r="BA61" i="1" s="1"/>
  <c r="F35" i="8"/>
  <c r="BB61" i="1" s="1"/>
  <c r="F37" i="8"/>
  <c r="BD61" i="1" s="1"/>
  <c r="J34" i="4"/>
  <c r="AW57" i="1" s="1"/>
  <c r="F37" i="7"/>
  <c r="BD60" i="1" s="1"/>
  <c r="J34" i="6"/>
  <c r="AW59" i="1" s="1"/>
  <c r="F34" i="6"/>
  <c r="BA59" i="1" s="1"/>
  <c r="J34" i="7"/>
  <c r="AW60" i="1" s="1"/>
  <c r="F34" i="5"/>
  <c r="BA58" i="1" s="1"/>
  <c r="F35" i="2"/>
  <c r="BB55" i="1" s="1"/>
  <c r="F35" i="6"/>
  <c r="BB59" i="1" s="1"/>
  <c r="F36" i="6"/>
  <c r="BC59" i="1" s="1"/>
  <c r="F35" i="3"/>
  <c r="BB56" i="1" s="1"/>
  <c r="F36" i="5"/>
  <c r="BC58" i="1" s="1"/>
  <c r="F36" i="2"/>
  <c r="BC55" i="1" s="1"/>
  <c r="F37" i="4"/>
  <c r="BD57" i="1" s="1"/>
  <c r="F35" i="7"/>
  <c r="BB60" i="1" s="1"/>
  <c r="F35" i="4"/>
  <c r="BB57" i="1" s="1"/>
  <c r="F36" i="4"/>
  <c r="BC57" i="1" s="1"/>
  <c r="J34" i="3"/>
  <c r="AW56" i="1" s="1"/>
  <c r="F34" i="3"/>
  <c r="BA56" i="1" s="1"/>
  <c r="J34" i="5"/>
  <c r="AW58" i="1" s="1"/>
  <c r="F36" i="8"/>
  <c r="BC61" i="1" s="1"/>
  <c r="F37" i="6"/>
  <c r="BD59" i="1" s="1"/>
  <c r="J34" i="2"/>
  <c r="AW55" i="1" s="1"/>
  <c r="F35" i="5"/>
  <c r="BB58" i="1" s="1"/>
  <c r="F34" i="2"/>
  <c r="BA55" i="1" s="1"/>
  <c r="J158" i="2" l="1"/>
  <c r="J62" i="2" s="1"/>
  <c r="R90" i="5"/>
  <c r="J312" i="3"/>
  <c r="BE312" i="3" s="1"/>
  <c r="R310" i="3"/>
  <c r="T310" i="3"/>
  <c r="BK312" i="3"/>
  <c r="R312" i="3"/>
  <c r="T312" i="3"/>
  <c r="BK310" i="3"/>
  <c r="J310" i="3"/>
  <c r="BE310" i="3" s="1"/>
  <c r="P310" i="3"/>
  <c r="P301" i="3" s="1"/>
  <c r="R89" i="6"/>
  <c r="BK243" i="5"/>
  <c r="T243" i="5"/>
  <c r="R243" i="5"/>
  <c r="P243" i="5"/>
  <c r="J243" i="5"/>
  <c r="BE243" i="5" s="1"/>
  <c r="BK213" i="5"/>
  <c r="J213" i="5"/>
  <c r="BE213" i="5" s="1"/>
  <c r="R213" i="5"/>
  <c r="T213" i="5"/>
  <c r="P213" i="5"/>
  <c r="P218" i="3"/>
  <c r="BK218" i="3"/>
  <c r="J218" i="3"/>
  <c r="BE218" i="3" s="1"/>
  <c r="T218" i="3"/>
  <c r="R218" i="3"/>
  <c r="H161" i="6"/>
  <c r="R159" i="6"/>
  <c r="P159" i="6"/>
  <c r="BK159" i="6"/>
  <c r="T159" i="6"/>
  <c r="J159" i="6"/>
  <c r="BE159" i="6" s="1"/>
  <c r="H543" i="2"/>
  <c r="P541" i="2"/>
  <c r="BK541" i="2"/>
  <c r="R541" i="2"/>
  <c r="T541" i="2"/>
  <c r="J541" i="2"/>
  <c r="BE541" i="2" s="1"/>
  <c r="H458" i="2"/>
  <c r="R456" i="2"/>
  <c r="T456" i="2"/>
  <c r="J456" i="2"/>
  <c r="P456" i="2"/>
  <c r="BK456" i="2"/>
  <c r="H416" i="2"/>
  <c r="P414" i="2"/>
  <c r="R414" i="2"/>
  <c r="T414" i="2"/>
  <c r="BK414" i="2"/>
  <c r="J414" i="2"/>
  <c r="BE414" i="2" s="1"/>
  <c r="H352" i="2"/>
  <c r="P350" i="2"/>
  <c r="R350" i="2"/>
  <c r="BK350" i="2"/>
  <c r="T350" i="2"/>
  <c r="J350" i="2"/>
  <c r="BE350" i="2" s="1"/>
  <c r="H283" i="2"/>
  <c r="BK281" i="2"/>
  <c r="J281" i="2"/>
  <c r="BE281" i="2" s="1"/>
  <c r="P281" i="2"/>
  <c r="R281" i="2"/>
  <c r="T281" i="2"/>
  <c r="P185" i="3"/>
  <c r="R185" i="3"/>
  <c r="T185" i="3"/>
  <c r="J185" i="3"/>
  <c r="BE185" i="3" s="1"/>
  <c r="BK185" i="3"/>
  <c r="H299" i="3"/>
  <c r="J297" i="3"/>
  <c r="BE297" i="3" s="1"/>
  <c r="BK297" i="3"/>
  <c r="P297" i="3"/>
  <c r="R297" i="3"/>
  <c r="T297" i="3"/>
  <c r="J61" i="8"/>
  <c r="J83" i="8"/>
  <c r="BK129" i="6"/>
  <c r="BK121" i="6" s="1"/>
  <c r="J121" i="6" s="1"/>
  <c r="J66" i="6" s="1"/>
  <c r="P129" i="6"/>
  <c r="P121" i="6" s="1"/>
  <c r="R129" i="6"/>
  <c r="R121" i="6" s="1"/>
  <c r="T129" i="6"/>
  <c r="T121" i="6" s="1"/>
  <c r="J129" i="6"/>
  <c r="BE129" i="6" s="1"/>
  <c r="H165" i="4"/>
  <c r="P163" i="4"/>
  <c r="BK163" i="4"/>
  <c r="J163" i="4"/>
  <c r="BE163" i="4" s="1"/>
  <c r="R163" i="4"/>
  <c r="T163" i="4"/>
  <c r="P151" i="4"/>
  <c r="R151" i="4"/>
  <c r="J151" i="4"/>
  <c r="BE151" i="4" s="1"/>
  <c r="T151" i="4"/>
  <c r="BK151" i="4"/>
  <c r="J62" i="7"/>
  <c r="T89" i="6"/>
  <c r="BK89" i="6"/>
  <c r="J89" i="6" s="1"/>
  <c r="J60" i="6" s="1"/>
  <c r="P93" i="4"/>
  <c r="T94" i="2"/>
  <c r="P94" i="2"/>
  <c r="R95" i="3"/>
  <c r="T93" i="4"/>
  <c r="P95" i="3"/>
  <c r="BK90" i="5"/>
  <c r="J90" i="5" s="1"/>
  <c r="J60" i="5" s="1"/>
  <c r="R93" i="4"/>
  <c r="BK93" i="4"/>
  <c r="P90" i="5"/>
  <c r="T95" i="3"/>
  <c r="P89" i="6"/>
  <c r="T90" i="5"/>
  <c r="R94" i="2"/>
  <c r="BK94" i="2"/>
  <c r="J94" i="2" s="1"/>
  <c r="J90" i="6"/>
  <c r="J61" i="6" s="1"/>
  <c r="J95" i="2"/>
  <c r="J61" i="2" s="1"/>
  <c r="J318" i="3"/>
  <c r="J74" i="3" s="1"/>
  <c r="J94" i="4"/>
  <c r="J61" i="4" s="1"/>
  <c r="J91" i="5"/>
  <c r="J61" i="5" s="1"/>
  <c r="BK95" i="3"/>
  <c r="J95" i="3" s="1"/>
  <c r="J60" i="3" s="1"/>
  <c r="BK83" i="8"/>
  <c r="BA54" i="1"/>
  <c r="W30" i="1" s="1"/>
  <c r="BC54" i="1"/>
  <c r="AY54" i="1" s="1"/>
  <c r="BB54" i="1"/>
  <c r="W31" i="1" s="1"/>
  <c r="F33" i="8"/>
  <c r="AZ61" i="1" s="1"/>
  <c r="J33" i="8"/>
  <c r="AV61" i="1" s="1"/>
  <c r="AT61" i="1" s="1"/>
  <c r="BD54" i="1"/>
  <c r="W33" i="1" s="1"/>
  <c r="R301" i="3" l="1"/>
  <c r="BK301" i="3"/>
  <c r="J301" i="3" s="1"/>
  <c r="J71" i="3" s="1"/>
  <c r="T301" i="3"/>
  <c r="T215" i="5"/>
  <c r="T125" i="5" s="1"/>
  <c r="J215" i="5"/>
  <c r="BE215" i="5" s="1"/>
  <c r="R215" i="5"/>
  <c r="R125" i="5" s="1"/>
  <c r="P215" i="5"/>
  <c r="P125" i="5" s="1"/>
  <c r="BK215" i="5"/>
  <c r="BK125" i="5" s="1"/>
  <c r="R220" i="3"/>
  <c r="R189" i="3" s="1"/>
  <c r="P220" i="3"/>
  <c r="P189" i="3" s="1"/>
  <c r="BK220" i="3"/>
  <c r="BK189" i="3" s="1"/>
  <c r="J189" i="3" s="1"/>
  <c r="J69" i="3" s="1"/>
  <c r="T220" i="3"/>
  <c r="T189" i="3" s="1"/>
  <c r="J220" i="3"/>
  <c r="BE220" i="3" s="1"/>
  <c r="T161" i="6"/>
  <c r="T131" i="6" s="1"/>
  <c r="T120" i="6" s="1"/>
  <c r="T88" i="6" s="1"/>
  <c r="R161" i="6"/>
  <c r="R131" i="6" s="1"/>
  <c r="R120" i="6" s="1"/>
  <c r="R88" i="6" s="1"/>
  <c r="J161" i="6"/>
  <c r="BE161" i="6" s="1"/>
  <c r="J33" i="6" s="1"/>
  <c r="AV59" i="1" s="1"/>
  <c r="AT59" i="1" s="1"/>
  <c r="P161" i="6"/>
  <c r="P131" i="6" s="1"/>
  <c r="P120" i="6" s="1"/>
  <c r="P88" i="6" s="1"/>
  <c r="AU59" i="1" s="1"/>
  <c r="BK161" i="6"/>
  <c r="BK131" i="6" s="1"/>
  <c r="T245" i="5"/>
  <c r="T217" i="5" s="1"/>
  <c r="R245" i="5"/>
  <c r="R217" i="5" s="1"/>
  <c r="BK245" i="5"/>
  <c r="BK217" i="5" s="1"/>
  <c r="J217" i="5" s="1"/>
  <c r="J68" i="5" s="1"/>
  <c r="P245" i="5"/>
  <c r="P217" i="5" s="1"/>
  <c r="J245" i="5"/>
  <c r="BE245" i="5" s="1"/>
  <c r="P543" i="2"/>
  <c r="P460" i="2" s="1"/>
  <c r="R543" i="2"/>
  <c r="R460" i="2" s="1"/>
  <c r="T543" i="2"/>
  <c r="T460" i="2" s="1"/>
  <c r="BK543" i="2"/>
  <c r="BK460" i="2" s="1"/>
  <c r="J460" i="2" s="1"/>
  <c r="J71" i="2" s="1"/>
  <c r="J543" i="2"/>
  <c r="BE543" i="2" s="1"/>
  <c r="J458" i="2"/>
  <c r="BE458" i="2" s="1"/>
  <c r="BK458" i="2"/>
  <c r="P458" i="2"/>
  <c r="R458" i="2"/>
  <c r="T458" i="2"/>
  <c r="BE456" i="2"/>
  <c r="T416" i="2"/>
  <c r="T354" i="2" s="1"/>
  <c r="BK416" i="2"/>
  <c r="BK354" i="2" s="1"/>
  <c r="J354" i="2" s="1"/>
  <c r="P416" i="2"/>
  <c r="P354" i="2" s="1"/>
  <c r="R416" i="2"/>
  <c r="R354" i="2" s="1"/>
  <c r="J416" i="2"/>
  <c r="BE416" i="2" s="1"/>
  <c r="P352" i="2"/>
  <c r="P285" i="2" s="1"/>
  <c r="J352" i="2"/>
  <c r="BE352" i="2" s="1"/>
  <c r="R352" i="2"/>
  <c r="R285" i="2" s="1"/>
  <c r="T352" i="2"/>
  <c r="T285" i="2" s="1"/>
  <c r="BK352" i="2"/>
  <c r="BK285" i="2" s="1"/>
  <c r="J285" i="2" s="1"/>
  <c r="J68" i="2" s="1"/>
  <c r="P283" i="2"/>
  <c r="P253" i="2" s="1"/>
  <c r="R283" i="2"/>
  <c r="R253" i="2" s="1"/>
  <c r="T283" i="2"/>
  <c r="T253" i="2" s="1"/>
  <c r="J283" i="2"/>
  <c r="BE283" i="2" s="1"/>
  <c r="BK283" i="2"/>
  <c r="BK253" i="2" s="1"/>
  <c r="J60" i="2"/>
  <c r="BK187" i="3"/>
  <c r="BK157" i="3" s="1"/>
  <c r="J157" i="3" s="1"/>
  <c r="J68" i="3" s="1"/>
  <c r="P187" i="3"/>
  <c r="P157" i="3" s="1"/>
  <c r="R187" i="3"/>
  <c r="R157" i="3" s="1"/>
  <c r="T187" i="3"/>
  <c r="T157" i="3" s="1"/>
  <c r="J187" i="3"/>
  <c r="BE187" i="3" s="1"/>
  <c r="J299" i="3"/>
  <c r="BE299" i="3" s="1"/>
  <c r="BK299" i="3"/>
  <c r="BK222" i="3" s="1"/>
  <c r="P299" i="3"/>
  <c r="P222" i="3" s="1"/>
  <c r="R299" i="3"/>
  <c r="R222" i="3" s="1"/>
  <c r="T299" i="3"/>
  <c r="T222" i="3" s="1"/>
  <c r="J165" i="4"/>
  <c r="BE165" i="4" s="1"/>
  <c r="P165" i="4"/>
  <c r="P155" i="4" s="1"/>
  <c r="R165" i="4"/>
  <c r="R155" i="4" s="1"/>
  <c r="T165" i="4"/>
  <c r="T155" i="4" s="1"/>
  <c r="BK165" i="4"/>
  <c r="BK155" i="4" s="1"/>
  <c r="J155" i="4" s="1"/>
  <c r="J69" i="4" s="1"/>
  <c r="BK153" i="4"/>
  <c r="BK139" i="4" s="1"/>
  <c r="J153" i="4"/>
  <c r="BE153" i="4" s="1"/>
  <c r="P153" i="4"/>
  <c r="P139" i="4" s="1"/>
  <c r="R153" i="4"/>
  <c r="R139" i="4" s="1"/>
  <c r="T153" i="4"/>
  <c r="T139" i="4" s="1"/>
  <c r="J93" i="4"/>
  <c r="J60" i="4" s="1"/>
  <c r="BK82" i="8"/>
  <c r="W32" i="1"/>
  <c r="AX54" i="1"/>
  <c r="AW54" i="1"/>
  <c r="AK30" i="1" s="1"/>
  <c r="J69" i="2" l="1"/>
  <c r="P124" i="5"/>
  <c r="P89" i="5" s="1"/>
  <c r="AU58" i="1" s="1"/>
  <c r="J131" i="6"/>
  <c r="J67" i="6" s="1"/>
  <c r="BK120" i="6"/>
  <c r="J120" i="6" s="1"/>
  <c r="J65" i="6" s="1"/>
  <c r="BK124" i="5"/>
  <c r="J125" i="5"/>
  <c r="J67" i="5" s="1"/>
  <c r="R124" i="5"/>
  <c r="R89" i="5" s="1"/>
  <c r="F33" i="5"/>
  <c r="AZ58" i="1" s="1"/>
  <c r="J33" i="5"/>
  <c r="AV58" i="1" s="1"/>
  <c r="AT58" i="1" s="1"/>
  <c r="P156" i="3"/>
  <c r="P94" i="3" s="1"/>
  <c r="AU56" i="1" s="1"/>
  <c r="T124" i="5"/>
  <c r="T89" i="5" s="1"/>
  <c r="F33" i="6"/>
  <c r="AZ59" i="1" s="1"/>
  <c r="F33" i="3"/>
  <c r="AZ56" i="1" s="1"/>
  <c r="J418" i="2"/>
  <c r="J70" i="2" s="1"/>
  <c r="F33" i="2"/>
  <c r="AZ55" i="1" s="1"/>
  <c r="T252" i="2"/>
  <c r="T93" i="2" s="1"/>
  <c r="P252" i="2"/>
  <c r="P93" i="2" s="1"/>
  <c r="AU55" i="1" s="1"/>
  <c r="AU54" i="1" s="1"/>
  <c r="J33" i="2"/>
  <c r="AV55" i="1" s="1"/>
  <c r="AT55" i="1" s="1"/>
  <c r="R252" i="2"/>
  <c r="R93" i="2" s="1"/>
  <c r="J253" i="2"/>
  <c r="BK252" i="2"/>
  <c r="BK93" i="2" s="1"/>
  <c r="J33" i="3"/>
  <c r="AV56" i="1" s="1"/>
  <c r="AT56" i="1" s="1"/>
  <c r="R156" i="3"/>
  <c r="R94" i="3" s="1"/>
  <c r="T156" i="3"/>
  <c r="T94" i="3" s="1"/>
  <c r="J222" i="3"/>
  <c r="J70" i="3" s="1"/>
  <c r="BK156" i="3"/>
  <c r="J60" i="8"/>
  <c r="J82" i="8"/>
  <c r="BK88" i="6"/>
  <c r="J88" i="6" s="1"/>
  <c r="J59" i="6" s="1"/>
  <c r="P128" i="4"/>
  <c r="P92" i="4" s="1"/>
  <c r="AU57" i="1" s="1"/>
  <c r="T128" i="4"/>
  <c r="T92" i="4" s="1"/>
  <c r="R128" i="4"/>
  <c r="R92" i="4" s="1"/>
  <c r="F33" i="4"/>
  <c r="AZ57" i="1" s="1"/>
  <c r="J139" i="4"/>
  <c r="BK128" i="4"/>
  <c r="J33" i="4"/>
  <c r="AV57" i="1" s="1"/>
  <c r="AT57" i="1" s="1"/>
  <c r="J68" i="4" l="1"/>
  <c r="J128" i="4"/>
  <c r="J92" i="4" s="1"/>
  <c r="J252" i="2"/>
  <c r="J93" i="2" s="1"/>
  <c r="J30" i="2" s="1"/>
  <c r="J39" i="2" s="1"/>
  <c r="J124" i="5"/>
  <c r="J66" i="5" s="1"/>
  <c r="BK89" i="5"/>
  <c r="J89" i="5" s="1"/>
  <c r="J67" i="2"/>
  <c r="J66" i="2" s="1"/>
  <c r="J59" i="2" s="1"/>
  <c r="AG55" i="1" s="1"/>
  <c r="AN55" i="1" s="1"/>
  <c r="J156" i="3"/>
  <c r="J67" i="3" s="1"/>
  <c r="BK94" i="3"/>
  <c r="J94" i="3" s="1"/>
  <c r="J30" i="8"/>
  <c r="AG61" i="1" s="1"/>
  <c r="AN61" i="1" s="1"/>
  <c r="J59" i="8"/>
  <c r="J30" i="6"/>
  <c r="AG59" i="1" s="1"/>
  <c r="AN59" i="1" s="1"/>
  <c r="BK92" i="4"/>
  <c r="J66" i="4" l="1"/>
  <c r="J30" i="5"/>
  <c r="J59" i="5"/>
  <c r="J59" i="3"/>
  <c r="J30" i="3"/>
  <c r="J39" i="8"/>
  <c r="J39" i="6"/>
  <c r="J30" i="4"/>
  <c r="J59" i="4"/>
  <c r="AG58" i="1" l="1"/>
  <c r="AN58" i="1" s="1"/>
  <c r="J39" i="5"/>
  <c r="AG56" i="1"/>
  <c r="AN56" i="1" s="1"/>
  <c r="J39" i="3"/>
  <c r="AG57" i="1"/>
  <c r="J39" i="4"/>
  <c r="AN57" i="1" l="1"/>
  <c r="P89" i="7"/>
  <c r="P84" i="7" s="1"/>
  <c r="P83" i="7" s="1"/>
  <c r="P82" i="7" s="1"/>
  <c r="AU60" i="1" s="1"/>
  <c r="T89" i="7"/>
  <c r="T84" i="7" s="1"/>
  <c r="T83" i="7" s="1"/>
  <c r="T82" i="7" s="1"/>
  <c r="BK89" i="7"/>
  <c r="BK84" i="7" s="1"/>
  <c r="BK83" i="7" s="1"/>
  <c r="BK82" i="7" s="1"/>
  <c r="R89" i="7"/>
  <c r="R84" i="7" s="1"/>
  <c r="R83" i="7" s="1"/>
  <c r="R82" i="7" s="1"/>
  <c r="J89" i="7"/>
  <c r="BE89" i="7" s="1"/>
  <c r="F33" i="7" l="1"/>
  <c r="AZ60" i="1" s="1"/>
  <c r="AZ54" i="1" s="1"/>
  <c r="J33" i="7"/>
  <c r="AV60" i="1" s="1"/>
  <c r="AT60" i="1" s="1"/>
  <c r="J84" i="7"/>
  <c r="J83" i="7" l="1"/>
  <c r="J61" i="7"/>
  <c r="W29" i="1"/>
  <c r="AV54" i="1"/>
  <c r="AK29" i="1" l="1"/>
  <c r="AT54" i="1"/>
  <c r="J60" i="7"/>
  <c r="J82" i="7"/>
  <c r="J59" i="7" l="1"/>
  <c r="J30" i="7"/>
  <c r="AG60" i="1" l="1"/>
  <c r="J39" i="7"/>
  <c r="AG54" i="1" l="1"/>
  <c r="AN60" i="1"/>
  <c r="AK26" i="1" l="1"/>
  <c r="AK35" i="1" s="1"/>
  <c r="AN54" i="1"/>
</calcChain>
</file>

<file path=xl/sharedStrings.xml><?xml version="1.0" encoding="utf-8"?>
<sst xmlns="http://schemas.openxmlformats.org/spreadsheetml/2006/main" count="11826" uniqueCount="1576">
  <si>
    <t>Export Komplet</t>
  </si>
  <si>
    <t>VZ</t>
  </si>
  <si>
    <t>2.0</t>
  </si>
  <si>
    <t/>
  </si>
  <si>
    <t>False</t>
  </si>
  <si>
    <t>{f2609e9d-5a3c-4984-9ef0-fe88bee79bf1}</t>
  </si>
  <si>
    <t>&gt;&gt;  skryté sloupce  &lt;&lt;</t>
  </si>
  <si>
    <t>0,01</t>
  </si>
  <si>
    <t>21</t>
  </si>
  <si>
    <t>15</t>
  </si>
  <si>
    <t>REKAPITULACE STAVBY</t>
  </si>
  <si>
    <t>v ---  níže se nacházejí doplnkové a pomocné údaje k sestavám  --- v</t>
  </si>
  <si>
    <t>0,001</t>
  </si>
  <si>
    <t>Kód:</t>
  </si>
  <si>
    <t>Stavba:</t>
  </si>
  <si>
    <t>KSO:</t>
  </si>
  <si>
    <t>801 11 96</t>
  </si>
  <si>
    <t>CC-CZ:</t>
  </si>
  <si>
    <t>1264</t>
  </si>
  <si>
    <t>Místo:</t>
  </si>
  <si>
    <t>Nymburk</t>
  </si>
  <si>
    <t>Datum:</t>
  </si>
  <si>
    <t>Zadavatel:</t>
  </si>
  <si>
    <t>IČ:</t>
  </si>
  <si>
    <t>28762886</t>
  </si>
  <si>
    <t>Nemocnice Nymburk s.r.o.</t>
  </si>
  <si>
    <t>DIČ:</t>
  </si>
  <si>
    <t>CZ28762886</t>
  </si>
  <si>
    <t>Zhotovitel:</t>
  </si>
  <si>
    <t xml:space="preserve"> </t>
  </si>
  <si>
    <t>Projektant:</t>
  </si>
  <si>
    <t>87577364</t>
  </si>
  <si>
    <t>Ing. arch. Pavel Petrák</t>
  </si>
  <si>
    <t>CZ8305093049</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</si>
  <si>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</si>
  <si>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</si>
  <si>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</si>
  <si>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</si>
  <si>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</si>
  <si>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</si>
  <si>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</si>
  <si>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</si>
  <si>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</si>
  <si>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</si>
  <si>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</si>
  <si>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</si>
  <si>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</si>
  <si>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</si>
  <si>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</si>
  <si>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</si>
  <si>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</si>
  <si>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</si>
  <si>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</si>
  <si>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</si>
  <si>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</si>
  <si>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</si>
  <si>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</si>
  <si>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</si>
  <si>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</si>
  <si>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</si>
  <si>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</si>
  <si>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</si>
  <si>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</si>
  <si>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</si>
  <si>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</si>
  <si>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</si>
  <si>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</si>
  <si>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</si>
  <si>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</si>
  <si>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</si>
  <si>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</si>
  <si>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</si>
  <si>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</si>
  <si>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</si>
  <si>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</si>
  <si>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</si>
  <si>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</si>
  <si>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</si>
  <si>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</si>
  <si>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</si>
  <si>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</si>
  <si>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{eeb6fb7f-35e4-4d7d-a6b0-a90340017859}</t>
  </si>
  <si>
    <t>2</t>
  </si>
  <si>
    <t>02</t>
  </si>
  <si>
    <t>Zdravotechnika</t>
  </si>
  <si>
    <t>{fbca14ec-ca63-4e47-b72b-312fed151f82}</t>
  </si>
  <si>
    <t>03</t>
  </si>
  <si>
    <t>Vytápění</t>
  </si>
  <si>
    <t>{8e76e5ce-3b27-469b-b572-c85514959e23}</t>
  </si>
  <si>
    <t>04</t>
  </si>
  <si>
    <t>Elektroinstalace</t>
  </si>
  <si>
    <t>{1f25ad92-4fe5-467e-9a91-20fb6becb107}</t>
  </si>
  <si>
    <t>05</t>
  </si>
  <si>
    <t>VZT</t>
  </si>
  <si>
    <t>{5092cd39-653c-4555-ae87-859a31ac8fc9}</t>
  </si>
  <si>
    <t>06</t>
  </si>
  <si>
    <t>Interiérové vybavení</t>
  </si>
  <si>
    <t>{023e2caa-9585-46c1-85f6-83dfa3c40adb}</t>
  </si>
  <si>
    <t>07</t>
  </si>
  <si>
    <t>VRN</t>
  </si>
  <si>
    <t>{28dbb35c-50be-47ea-8ca5-517739727674}</t>
  </si>
  <si>
    <t>KRYCÍ LIST SOUPISU PRACÍ</t>
  </si>
  <si>
    <t>Objekt:</t>
  </si>
  <si>
    <t>01 - Stavební část</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</si>
  <si>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</si>
  <si>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</si>
  <si>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</si>
  <si>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</si>
  <si>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</si>
  <si>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</si>
  <si>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</si>
  <si>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</si>
  <si>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</si>
  <si>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</si>
  <si>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</si>
  <si>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</si>
  <si>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</si>
  <si>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</si>
  <si>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</si>
  <si>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</si>
  <si>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</si>
  <si>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</si>
  <si>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</si>
  <si>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</si>
  <si>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</si>
  <si>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</si>
  <si>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</si>
  <si>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</si>
  <si>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</si>
  <si>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</si>
  <si>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</si>
  <si>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</si>
  <si>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</si>
  <si>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</si>
  <si>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</si>
  <si>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</si>
  <si>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</si>
  <si>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</si>
  <si>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</si>
  <si>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</si>
  <si>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</si>
  <si>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</si>
  <si>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m3</t>
  </si>
  <si>
    <t>R-položka</t>
  </si>
  <si>
    <t>4</t>
  </si>
  <si>
    <t>VV</t>
  </si>
  <si>
    <t>viz výkr. Půdorys 1.a 2.NP - návrh, Řez objektem a další</t>
  </si>
  <si>
    <t>kus</t>
  </si>
  <si>
    <t>CS ÚRS 2020 02</t>
  </si>
  <si>
    <t>PSC</t>
  </si>
  <si>
    <t>viz výkr. Půdorys 1.a 2.NP - návrh, Řez objektem, Tabulka překladů a další</t>
  </si>
  <si>
    <t>Součet</t>
  </si>
  <si>
    <t>317234410</t>
  </si>
  <si>
    <t>Vyzdívka mezi nosníky cihlami pálenými na maltu cementovou</t>
  </si>
  <si>
    <t>1032617148</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</si>
  <si>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</si>
  <si>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1.NP</t>
  </si>
  <si>
    <t>2.NP</t>
  </si>
  <si>
    <t>317941121</t>
  </si>
  <si>
    <t>Osazování ocelových válcovaných nosníků na zdivu I nebo IE nebo U nebo UE nebo L do č. 12 nebo výšky do 120 mm</t>
  </si>
  <si>
    <t>t</t>
  </si>
  <si>
    <t>1583188428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</si>
  <si>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</si>
  <si>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5</t>
  </si>
  <si>
    <t>M</t>
  </si>
  <si>
    <t>13010710</t>
  </si>
  <si>
    <t>ocel profilová IPN 80 jakost 11 375</t>
  </si>
  <si>
    <t>8</t>
  </si>
  <si>
    <t>2130869046</t>
  </si>
  <si>
    <t>6</t>
  </si>
  <si>
    <t>7</t>
  </si>
  <si>
    <t>340271021</t>
  </si>
  <si>
    <t>Zazdívka otvorů v příčkách nebo stěnách pórobetonovými tvárnicemi plochy přes 0,025 m2 do 1 m2, objemová hmotnost 500 kg/m3, tloušťka příčky 100 mm</t>
  </si>
  <si>
    <t>m2</t>
  </si>
  <si>
    <t>-366094246</t>
  </si>
  <si>
    <t>340271025</t>
  </si>
  <si>
    <t>Zazdívka otvorů v příčkách nebo stěnách pórobetonovými tvárnicemi plochy přes 1 m2 do 4 m2, objemová hmotnost 500 kg/m3, tloušťka příčky 100 mm</t>
  </si>
  <si>
    <t>-1215975772</t>
  </si>
  <si>
    <t>9</t>
  </si>
  <si>
    <t>10</t>
  </si>
  <si>
    <t>342272225</t>
  </si>
  <si>
    <t>Příčky z pórobetonových tvárnic hladkých na tenké maltové lože objemová hmotnost do 500 kg/m3, tloušťka příčky 100 mm</t>
  </si>
  <si>
    <t>-251552535</t>
  </si>
  <si>
    <t>11</t>
  </si>
  <si>
    <t>12</t>
  </si>
  <si>
    <t>342291111</t>
  </si>
  <si>
    <t>Ukotvení příček polyuretanovou pěnou, tl. příčky do 100 mm</t>
  </si>
  <si>
    <t>m</t>
  </si>
  <si>
    <t>2008392178</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</si>
  <si>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</si>
  <si>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13</t>
  </si>
  <si>
    <t>14</t>
  </si>
  <si>
    <t>342291121</t>
  </si>
  <si>
    <t>Ukotvení příček plochými kotvami, do konstrukce cihelné</t>
  </si>
  <si>
    <t>-1294178354</t>
  </si>
  <si>
    <t>346244381</t>
  </si>
  <si>
    <t>Plentování ocelových válcovaných nosníků jednostranné cihlami na maltu, výška stojiny do 200 mm</t>
  </si>
  <si>
    <t>-1644783241</t>
  </si>
  <si>
    <t>viz předchozí výpočty</t>
  </si>
  <si>
    <t>Úpravy povrchů, podlahy a osazování výplní</t>
  </si>
  <si>
    <t>16</t>
  </si>
  <si>
    <t>17</t>
  </si>
  <si>
    <t>18</t>
  </si>
  <si>
    <t>19</t>
  </si>
  <si>
    <t>20</t>
  </si>
  <si>
    <t>22</t>
  </si>
  <si>
    <t>23</t>
  </si>
  <si>
    <t>24</t>
  </si>
  <si>
    <t>25</t>
  </si>
  <si>
    <t>26</t>
  </si>
  <si>
    <t>27</t>
  </si>
  <si>
    <t>viz výkr. Půdorys 1.a 2.NP - stávající stav + bourané kce, Řez objektem a další</t>
  </si>
  <si>
    <t>28</t>
  </si>
  <si>
    <t>29</t>
  </si>
  <si>
    <t>30</t>
  </si>
  <si>
    <t>632451101</t>
  </si>
  <si>
    <t>Potěr cementový samonivelační ze suchých směsí tloušťky přes 2 do 5 mm</t>
  </si>
  <si>
    <t>-1188112031</t>
  </si>
  <si>
    <t>viz výkr. části PD - D.2. Interiérové řešení</t>
  </si>
  <si>
    <t>Mezisoučet</t>
  </si>
  <si>
    <t>31</t>
  </si>
  <si>
    <t>633811111</t>
  </si>
  <si>
    <t>Broušení betonových podlah nerovností do 2 mm (stržení šlemu)</t>
  </si>
  <si>
    <t>-878966438</t>
  </si>
  <si>
    <t>32</t>
  </si>
  <si>
    <t>633811119</t>
  </si>
  <si>
    <t>Broušení betonových podlah Příplatek k ceně za každý další 1 mm úběru</t>
  </si>
  <si>
    <t>-1718702028</t>
  </si>
  <si>
    <t>642944121</t>
  </si>
  <si>
    <t>Osazení ocelových dveřních zárubní lisovaných nebo z úhelníků dodatečně s vybetonováním prahu, plochy do 2,5 m2</t>
  </si>
  <si>
    <t>-565369999</t>
  </si>
  <si>
    <t xml:space="preserve">Poznámka k souboru cen:_x000D_
1. V cenách nejsou započteny náklady na dodání zárubní, tyto se oceňují ve specifikaci._x000D_
</t>
  </si>
  <si>
    <t>55331430</t>
  </si>
  <si>
    <t>zárubeň jednokřídlá ocelová pro dodatečnou montáž tl stěny 75-100mm rozměru 600/1970, 2100mm</t>
  </si>
  <si>
    <t>-475618050</t>
  </si>
  <si>
    <t>viz výkr. Půdorys 1.a 2.NP - návrh, Řez objektem, Tabulka dveří a další</t>
  </si>
  <si>
    <t>55331431</t>
  </si>
  <si>
    <t>zárubeň jednokřídlá ocelová pro dodatečnou montáž tl stěny 75-100mm rozměru 700/1970, 2100mm</t>
  </si>
  <si>
    <t>1999709273</t>
  </si>
  <si>
    <t>55331432</t>
  </si>
  <si>
    <t>zárubeň jednokřídlá ocelová pro dodatečnou montáž tl stěny 75-100mm rozměru 800/1970, 2100mm</t>
  </si>
  <si>
    <t>-1936103903</t>
  </si>
  <si>
    <t>P</t>
  </si>
  <si>
    <t>Poznámka k položce:_x000D_
PO EI (EW) 15 DP3, PODROBNÝ POPIS VIZ TABULKA DVEŘÍ</t>
  </si>
  <si>
    <t>55331433</t>
  </si>
  <si>
    <t>zárubeň jednokřídlá ocelová pro dodatečnou montáž tl stěny 75-100mm rozměru 900/1970, 2100mm</t>
  </si>
  <si>
    <t>1457785423</t>
  </si>
  <si>
    <t>Ostatní konstrukce a práce, bourání</t>
  </si>
  <si>
    <t>949101111</t>
  </si>
  <si>
    <t>Lešení pomocné pracovní pro objekty pozemních staveb pro zatížení do 150 kg/m2, o výšce lešeňové podlahy do 1,9 m</t>
  </si>
  <si>
    <t>-1154693108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</si>
  <si>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</si>
  <si>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962031132</t>
  </si>
  <si>
    <t>Bourání příček z cihel, tvárnic nebo příčkovek z cihel pálených, plných nebo dutých na maltu vápennou nebo vápenocementovou, tl. do 100 mm</t>
  </si>
  <si>
    <t>-2047153651</t>
  </si>
  <si>
    <t>965081213</t>
  </si>
  <si>
    <t>Bourání podlah z dlaždic bez podkladního lože nebo mazaniny, s jakoukoliv výplní spár keramických nebo xylolitových tl. do 10 mm, plochy přes 1 m2</t>
  </si>
  <si>
    <t>1763189028</t>
  </si>
  <si>
    <t xml:space="preserve">Poznámka k souboru cen:_x000D_
1. Odsekání soklíků se oceňuje cenami souboru cen 965 08._x000D_
</t>
  </si>
  <si>
    <t>971033621</t>
  </si>
  <si>
    <t>Vybourání otvorů ve zdivu základovém nebo nadzákladovém z cihel, tvárnic, příčkovek z cihel pálených na maltu vápennou nebo vápenocementovou plochy do 4 m2, tl. do 100 mm</t>
  </si>
  <si>
    <t>1308592426</t>
  </si>
  <si>
    <t>978059541</t>
  </si>
  <si>
    <t>Odsekání obkladů stěn včetně otlučení podkladní omítky až na zdivo z obkládaček vnitřních, z jakýchkoliv materiálů, plochy přes 1 m2</t>
  </si>
  <si>
    <t>-1328308876</t>
  </si>
  <si>
    <t>997</t>
  </si>
  <si>
    <t>Přesun sutě</t>
  </si>
  <si>
    <t>997013211</t>
  </si>
  <si>
    <t>Vnitrostaveništní doprava suti a vybouraných hmot vodorovně do 50 m svisle ručně pro budovy a haly výšky do 6 m</t>
  </si>
  <si>
    <t>54351242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</si>
  <si>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</si>
  <si>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997013219</t>
  </si>
  <si>
    <t>Vnitrostaveništní doprava suti a vybouraných hmot vodorovně do 50 m Příplatek k cenám -3111 až -3217 za zvětšenou vodorovnou dopravu přes vymezenou dopravní vzdálenost za každých dalších i započatých 10 m</t>
  </si>
  <si>
    <t>524292567</t>
  </si>
  <si>
    <t>997013501</t>
  </si>
  <si>
    <t>Odvoz suti a vybouraných hmot na skládku nebo meziskládku se složením, na vzdálenost do 1 km</t>
  </si>
  <si>
    <t>-1851956938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</si>
  <si>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</si>
  <si>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</si>
  <si>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</si>
  <si>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-1307515831</t>
  </si>
  <si>
    <t>997013631</t>
  </si>
  <si>
    <t>Poplatek za uložení stavebního odpadu na skládce (skládkovné) směsného stavebního a demoličního zatříděného do Katalogu odpadů pod kódem 17 09 04</t>
  </si>
  <si>
    <t>1365421890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</si>
  <si>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</si>
  <si>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</si>
  <si>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</si>
  <si>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998018001</t>
  </si>
  <si>
    <t>Přesun hmot pro budovy občanské výstavby, bydlení, výrobu a služby ruční - bez užití mechanizace vodorovná dopravní vzdálenost do 100 m pro budovy s jakoukoliv nosnou konstrukcí výšky do 6 m</t>
  </si>
  <si>
    <t>1374669751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</si>
  <si>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</si>
  <si>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</si>
  <si>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</si>
  <si>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763</t>
  </si>
  <si>
    <t>Konstrukce suché výstavby</t>
  </si>
  <si>
    <t>763131451</t>
  </si>
  <si>
    <t>Podhled ze sádrokartonových desek dvouvrstvá zavěšená spodní konstrukce z ocelových profilů CD, UD jednoduše opláštěná deskou impregnovanou H2, tl. 12,5 mm, bez izolace</t>
  </si>
  <si>
    <t>-1935990660</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</si>
  <si>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</si>
  <si>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Poznámka k položce:_x000D_
PODHLEDY VE sv.v. : - 1.NP - 2700 mm, 2.NP - 2500 mm.</t>
  </si>
  <si>
    <t>763131771</t>
  </si>
  <si>
    <t>Podhled ze sádrokartonových desek Příplatek k cenám za rovinnost kvality speciální tmelení kvality Q3</t>
  </si>
  <si>
    <t>539977447</t>
  </si>
  <si>
    <t>763131714</t>
  </si>
  <si>
    <t>Podhled ze sádrokartonových desek ostatní práce a konstrukce na podhledech ze sádrokartonových desek základní penetrační nátěr</t>
  </si>
  <si>
    <t>-133375289</t>
  </si>
  <si>
    <t>998763401</t>
  </si>
  <si>
    <t>Přesun hmot pro konstrukce montované z desek stanovený procentní sazbou (%) z ceny vodorovná dopravní vzdálenost do 50 m v objektech výšky do 6 m</t>
  </si>
  <si>
    <t>%</t>
  </si>
  <si>
    <t>-1210824143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</si>
  <si>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</si>
  <si>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998763491</t>
  </si>
  <si>
    <t>Přesun hmot pro konstrukce montované z desek stanovený procentní sazbou (%) z ceny Příplatek k cenám za zvětšený přesun přes vymezenou dopravní vzdálenost do 100 m</t>
  </si>
  <si>
    <t>1729199415</t>
  </si>
  <si>
    <t>766</t>
  </si>
  <si>
    <t>Konstrukce truhlářské</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</si>
  <si>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</si>
  <si>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MDF 16</t>
  </si>
  <si>
    <t>1333713335</t>
  </si>
  <si>
    <t>766660001</t>
  </si>
  <si>
    <t>Montáž dveřních křídel dřevěných nebo plastových otevíravých do ocelové zárubně povrchově upravených jednokřídlových, šířky do 800 mm</t>
  </si>
  <si>
    <t>-2135617112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</si>
  <si>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</si>
  <si>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Poznámka k položce:_x000D_
POLOŽKA KALKULOVÁNA VČETNĚ MONTÁŽE PŘÍSLUŠENSTVÍ UCELENÉ DODÁVKY DVEŘÍ (t.j. včetně kování, apod.)</t>
  </si>
  <si>
    <t>dveřní křídlo z MDF desky s povrchovou úpravou v dekoru dřeva, - bělený dub, prosklené s mléčným sklem - sklo dělené třemi příčlemi (do nové oicelové zárubně), rozm. 800x1970 mm, P, kování nerez - klika/klika, dělené štítky s obyčejným zámkem, bez požární odolnosti</t>
  </si>
  <si>
    <t>1005221553</t>
  </si>
  <si>
    <t>Poznámka k položce:_x000D_
- jednokřídlé otvíravé interiérové dveře, dveře do místností kanceláří a studovny_x000D_
- KOMPLETNÍ DODÁVKA V ROZSAHU POPISU VÝROBKU (vč. kování, apod.)_x000D_
- PODROBNÝ POPIS VIZ TABULKA DVEŘÍ</t>
  </si>
  <si>
    <t>dveřní křídlo z MDF desky s povrchovou úpravou v dekoru dřeva, - bělený dub, prosklené s mléčným sklem - sklo dělené třemi příčlemi (do nové oicelové zárubně), rozm. 800x1970 mm, L, kování nerez - klika/klika, dělené štítky s obyčejným zámkem, bez požární odolnosti</t>
  </si>
  <si>
    <t>-516781791</t>
  </si>
  <si>
    <t>dveřní křídlo z MDF desky s povrchovou úpravou v dekoru dřeva, - bělený dub, plné s příčným členěním (do nové oicelové zárubně), rozm. 800x1970 mm, L, kování nerez - klika/klika, dělené štítky s obyčejným zámkem, bez požární odolnosti</t>
  </si>
  <si>
    <t>Poznámka k položce:_x000D_
- jednokřídlé otvíravé interiérové dveře, dveře do místností pokojů v patře_x000D_
- KOMPLETNÍ DODÁVKA V ROZSAHU POPISU VÝROBKU (vč. kování, apod.)_x000D_
- PODROBNÝ POPIS VIZ TABULKA DVEŘÍ</t>
  </si>
  <si>
    <t>dveřní křídlo z MDF desky s povrchovou úpravou v dekoru dřeva, - bělený dub, plné s příčným členěním (do nové oicelové zárubně), rozm. 800x1970 mm, P, kování nerez - klika/klika, dělené štítky s obyčejným zámkem, bez požární odolnosti</t>
  </si>
  <si>
    <t>-1331049640</t>
  </si>
  <si>
    <t>dveřní křídlo z MDF desky s povrchovou úpravou v dekoru dřeva, - bělený dub, plné s příčným členěním (do nové oicelové zárubně), rozm. 700x1970 mm, P, kování nerez - klika/klika, dělené štítky s obyčejným zámkem, bez požární odolnosti</t>
  </si>
  <si>
    <t>-1457085041</t>
  </si>
  <si>
    <t>Poznámka k položce:_x000D_
- jednokřídlé otvíravé interiérové dveře, dveře do místností sociálního zázemí v přízemí i v patře_x000D_
- KOMPLETNÍ DODÁVKA V ROZSAHU POPISU VÝROBKU (vč. kování, apod.)_x000D_
- PODROBNÝ POPIS VIZ TABULKA DVEŘÍ</t>
  </si>
  <si>
    <t>dveřní křídlo z MDF desky s povrchovou úpravou v dekoru dřeva, - bělený dub, plné s příčným členěním (do nové oicelové zárubně), rozm. 700x1970 mm, L, kování nerez - klika/klika, dělené štítky s obyčejným zámkem, bez požární odolnosti</t>
  </si>
  <si>
    <t>-1356769648</t>
  </si>
  <si>
    <t>dveřní křídlo z MDF desky s povrchovou úpravou v dekoru dřeva, - bělený dub, plné s příčným členěním (do nové oicelové zárubně), rozm. 600x1970 mm, L, kování nerez - klika/klika, dělené štítky s obyčejným zámkem, bez požární odolnosti</t>
  </si>
  <si>
    <t>1862649656</t>
  </si>
  <si>
    <t>Poznámka k položce:_x000D_
- jednokřídlé otvíravé interiérové dveře, dveře do místností WC v přízemí_x000D_
- KOMPLETNÍ DODÁVKA V ROZSAHU POPISU VÝROBKU (vč. kování, apod.)_x000D_
- PODROBNÝ POPIS VIZ TABULKA DVEŘÍ</t>
  </si>
  <si>
    <t>dveřní křídlo z MDF desky s povrchovou úpravou v dekoru dřeva, - bělený dub, plné s příčným členěním (do nové oicelové zárubně), rozm. 600x1970 mm, P, kování nerez - klika/klika, dělené štítky s obyčejným zámkem, bez požární odolnosti</t>
  </si>
  <si>
    <t>545768328</t>
  </si>
  <si>
    <t>766660002</t>
  </si>
  <si>
    <t>Montáž dveřních křídel dřevěných nebo plastových otevíravých do ocelové zárubně povrchově upravených jednokřídlových, šířky přes 800 mm</t>
  </si>
  <si>
    <t>1875380584</t>
  </si>
  <si>
    <t>1095994838</t>
  </si>
  <si>
    <t>Poznámka k položce:_x000D_
- jednokřídlé otvíravé interiérové dveře, dveře z příjmové místnosti do místnosti chodby_x000D_
- KOMPLETNÍ DODÁVKA V ROZSAHU POPISU VÝROBKU (vč. kování, apod.)_x000D_
- PODROBNÝ POPIS VIZ TABULKA DVEŘÍ</t>
  </si>
  <si>
    <t>998766201</t>
  </si>
  <si>
    <t>Přesun hmot pro konstrukce truhlářské stanovený procentní sazbou (%) z ceny vodorovná dopravní vzdálenost do 50 m v objektech výšky do 6 m</t>
  </si>
  <si>
    <t>843008086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</si>
  <si>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</si>
  <si>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998766292</t>
  </si>
  <si>
    <t>Přesun hmot pro konstrukce truhlářské stanovený procentní sazbou (%) z ceny Příplatek k cenám za zvětšený přesun přes vymezenou největší dopravní vzdálenost do 100 m</t>
  </si>
  <si>
    <t>-1469957862</t>
  </si>
  <si>
    <t>771</t>
  </si>
  <si>
    <t>Podlahy z dlaždic</t>
  </si>
  <si>
    <t>771111011</t>
  </si>
  <si>
    <t>Příprava podkladu před provedením dlažby vysátí podlah</t>
  </si>
  <si>
    <t>843232498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</si>
  <si>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</si>
  <si>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771121011</t>
  </si>
  <si>
    <t>Příprava podkladu před provedením dlažby nátěr penetrační na podlahu</t>
  </si>
  <si>
    <t>738517230</t>
  </si>
  <si>
    <t>771474111</t>
  </si>
  <si>
    <t>Montáž soklů z dlaždic keramických lepených flexibilním lepidlem rovných, výšky do 65 mm</t>
  </si>
  <si>
    <t>684204564</t>
  </si>
  <si>
    <t>771574173</t>
  </si>
  <si>
    <t>Montáž podlah z dlaždic keramických lepených flexibilním lepidlem velkoformátových reliéfních nebo z dekorů přes 2 do 4 ks/m2</t>
  </si>
  <si>
    <t>-903521495</t>
  </si>
  <si>
    <t xml:space="preserve">Poznámka k souboru cen:_x000D_
1. Položky jsou učeny pro všechy druhy povrchových úprav._x000D_
</t>
  </si>
  <si>
    <t>5976144-A</t>
  </si>
  <si>
    <t>1371697690</t>
  </si>
  <si>
    <t>771577111</t>
  </si>
  <si>
    <t>Montáž podlah z dlaždic keramických lepených flexibilním lepidlem Příplatek k cenám za plochu do 5 m2 jednotlivě</t>
  </si>
  <si>
    <t>1047089357</t>
  </si>
  <si>
    <t>771577114</t>
  </si>
  <si>
    <t>Montáž podlah z dlaždic keramických lepených flexibilním lepidlem Příplatek k cenám za dvousložkový spárovací tmel</t>
  </si>
  <si>
    <t>1432279448</t>
  </si>
  <si>
    <t>771591112</t>
  </si>
  <si>
    <t>Izolace podlahy pod dlažbu nátěrem nebo stěrkou ve dvou vrstvách</t>
  </si>
  <si>
    <t>1828804531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</si>
  <si>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</si>
  <si>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771591241</t>
  </si>
  <si>
    <t>Izolace podlahy pod dlažbu těsnícími izolačními pásy vnitřní kout</t>
  </si>
  <si>
    <t>-187493350</t>
  </si>
  <si>
    <t>771591264</t>
  </si>
  <si>
    <t>Izolace podlahy pod dlažbu těsnícími izolačními pásy mezi podlahou a stěnu</t>
  </si>
  <si>
    <t>836232902</t>
  </si>
  <si>
    <t>998771201</t>
  </si>
  <si>
    <t>Přesun hmot pro podlahy z dlaždic stanovený procentní sazbou (%) z ceny vodorovná dopravní vzdálenost do 50 m v objektech výšky do 6 m</t>
  </si>
  <si>
    <t>-970331079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</si>
  <si>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</si>
  <si>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998771292</t>
  </si>
  <si>
    <t>Přesun hmot pro podlahy z dlaždic stanovený procentní sazbou (%) z ceny Příplatek k cenám za zvětšený přesun přes vymezenou největší dopravní vzdálenost do 100 m</t>
  </si>
  <si>
    <t>1923038932</t>
  </si>
  <si>
    <t>775541161</t>
  </si>
  <si>
    <t>-992681161</t>
  </si>
  <si>
    <t>Poznámka k položce:_x000D_
SKLADBA S1 (NOVÝ STAV) - SKLADBA PODLAHY</t>
  </si>
  <si>
    <t>2841106R</t>
  </si>
  <si>
    <t>1484893899</t>
  </si>
  <si>
    <t>Poznámka k položce:_x000D_
PŘESNÁ SPECIFIKACE VÝROBKU - VIZ ČÁST PD D.2. INTERIÉROVÉ ŘEŠENÍ</t>
  </si>
  <si>
    <t>775413401</t>
  </si>
  <si>
    <t>Montáž lišty obvodové lepené</t>
  </si>
  <si>
    <t>1975626843</t>
  </si>
  <si>
    <t xml:space="preserve">Poznámka k souboru cen:_x000D_
1. V cenách 775 41- . . nejsou započteny náklady na dodání lišt, tyto se oceňují ve specifikaci; ztratné lze dohodnout v přiměřené výši._x000D_
</t>
  </si>
  <si>
    <t>2841100R</t>
  </si>
  <si>
    <t>lišta soklová PVC v. 40 mm, povrch : fólie s dekorem běleného dubu</t>
  </si>
  <si>
    <t>1702987835</t>
  </si>
  <si>
    <t>775429121</t>
  </si>
  <si>
    <t>Montáž lišty přechodové (vyrovnávací) připevněné vruty</t>
  </si>
  <si>
    <t>-1215505501</t>
  </si>
  <si>
    <t xml:space="preserve">Poznámka k souboru cen:_x000D_
1. V ceně 775 42-9 . nejsou započteny náklady na dodání lišt, montážních spon nebo montážních základních profilů. Tyto náklady se oceňují ve specifikaci; ztratné lze dohodnout v přiměřené výši._x000D_
</t>
  </si>
  <si>
    <t>5534311R</t>
  </si>
  <si>
    <t>profil přechodový Al</t>
  </si>
  <si>
    <t>-1631797190</t>
  </si>
  <si>
    <t>998775201</t>
  </si>
  <si>
    <t>-225213488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</si>
  <si>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</si>
  <si>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998775292</t>
  </si>
  <si>
    <t>1996538320</t>
  </si>
  <si>
    <t>776</t>
  </si>
  <si>
    <t>Podlahy povlakové</t>
  </si>
  <si>
    <t>776201811</t>
  </si>
  <si>
    <t>Demontáž povlakových podlahovin lepených ručně bez podložky</t>
  </si>
  <si>
    <t>-215420042</t>
  </si>
  <si>
    <t>Poznámka k položce:_x000D_
POLOŽKA KALKULOVÁNA VČETNĚ OBVODOVÝCH SOKLÍKŮ !!!</t>
  </si>
  <si>
    <t>781</t>
  </si>
  <si>
    <t>Dokončovací práce - obklady</t>
  </si>
  <si>
    <t>781111011</t>
  </si>
  <si>
    <t>Příprava podkladu před provedením obkladu oprášení (ometení) stěny</t>
  </si>
  <si>
    <t>-56374503</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</si>
  <si>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</si>
  <si>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781121011</t>
  </si>
  <si>
    <t>Příprava podkladu před provedením obkladu nátěr penetrační na stěnu</t>
  </si>
  <si>
    <t>2076342077</t>
  </si>
  <si>
    <t>781131112</t>
  </si>
  <si>
    <t>Izolace stěny pod obklad izolace nátěrem nebo stěrkou ve dvou vrstvách</t>
  </si>
  <si>
    <t>572413422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</si>
  <si>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</si>
  <si>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781474163</t>
  </si>
  <si>
    <t>Montáž obkladů vnitřních stěn z dlaždic keramických lepených flexibilním lepidlem velkoformátových reliéfních nebo z dekorů přes 2 do 4 ks/m2</t>
  </si>
  <si>
    <t>724065664</t>
  </si>
  <si>
    <t xml:space="preserve">Poznámka k souboru cen:_x000D_
1. Položky jsou určeny pro všechny druhy povrchových úprav._x000D_
</t>
  </si>
  <si>
    <t>-34058773</t>
  </si>
  <si>
    <t>781477111</t>
  </si>
  <si>
    <t>Montáž obkladů vnitřních stěn z dlaždic keramických Příplatek k cenám za plochu do 10 m2 jednotlivě</t>
  </si>
  <si>
    <t>-1718366364</t>
  </si>
  <si>
    <t>781477115</t>
  </si>
  <si>
    <t>Montáž obkladů vnitřních stěn z dlaždic keramických Příplatek k cenám za dvousložkové lepidlo</t>
  </si>
  <si>
    <t>-91273737</t>
  </si>
  <si>
    <t>781494111</t>
  </si>
  <si>
    <t>Obklad - dokončující práce profily ukončovací lepené flexibilním lepidlem rohové</t>
  </si>
  <si>
    <t>1858970542</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</si>
  <si>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</si>
  <si>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781494511</t>
  </si>
  <si>
    <t>Obklad - dokončující práce profily ukončovací lepené flexibilním lepidlem ukončovací</t>
  </si>
  <si>
    <t>-1901386537</t>
  </si>
  <si>
    <t>781495141</t>
  </si>
  <si>
    <t>Obklad - dokončující práce průnik obkladem kruhový, bez izolace do DN 30</t>
  </si>
  <si>
    <t>868169512</t>
  </si>
  <si>
    <t>781495142</t>
  </si>
  <si>
    <t>Obklad - dokončující práce průnik obkladem kruhový, bez izolace přes DN 30 do DN 90</t>
  </si>
  <si>
    <t>-854211338</t>
  </si>
  <si>
    <t>781495143</t>
  </si>
  <si>
    <t>Obklad - dokončující práce průnik obkladem kruhový, bez izolace přes DN 90</t>
  </si>
  <si>
    <t>-297326469</t>
  </si>
  <si>
    <t>998781201</t>
  </si>
  <si>
    <t>Přesun hmot pro obklady keramické stanovený procentní sazbou (%) z ceny vodorovná dopravní vzdálenost do 50 m v objektech výšky do 6 m</t>
  </si>
  <si>
    <t>-237025991</t>
  </si>
  <si>
    <t>998781292</t>
  </si>
  <si>
    <t>Přesun hmot pro obklady keramické stanovený procentní sazbou (%) z ceny Příplatek k cenám za zvětšený přesun přes vymezenou největší dopravní vzdálenost do 100 m</t>
  </si>
  <si>
    <t>-1762189540</t>
  </si>
  <si>
    <t>783</t>
  </si>
  <si>
    <t>Dokončovací práce - nátěry</t>
  </si>
  <si>
    <t>783301401</t>
  </si>
  <si>
    <t>Příprava podkladu zámečnických konstrukcí před provedením nátěru ometení</t>
  </si>
  <si>
    <t>-1483681931</t>
  </si>
  <si>
    <t>783301311</t>
  </si>
  <si>
    <t>Příprava podkladu zámečnických konstrukcí před provedením nátěru odmaštění odmašťovačem vodou ředitelným</t>
  </si>
  <si>
    <t>1046917204</t>
  </si>
  <si>
    <t>783314201</t>
  </si>
  <si>
    <t>Základní antikorozní nátěr zámečnických konstrukcí jednonásobný syntetický standardní</t>
  </si>
  <si>
    <t>-1862303566</t>
  </si>
  <si>
    <t>783-R1-60</t>
  </si>
  <si>
    <t>Očištění a nátěr nových zárubní rozm. 60/197 cm</t>
  </si>
  <si>
    <t>-490757131</t>
  </si>
  <si>
    <t>783-R1-70</t>
  </si>
  <si>
    <t>Očištění a nátěr nových zárubní rozm. 70/197 cm</t>
  </si>
  <si>
    <t>-2032782766</t>
  </si>
  <si>
    <t>783-R1-80</t>
  </si>
  <si>
    <t>Očištění a nátěr nových zárubní rozm. 80/197 cm</t>
  </si>
  <si>
    <t>-746012558</t>
  </si>
  <si>
    <t>783-R1-90</t>
  </si>
  <si>
    <t>Očištění a nátěr nových zárubní rozm. 90/197 cm</t>
  </si>
  <si>
    <t>-647354315</t>
  </si>
  <si>
    <t>784</t>
  </si>
  <si>
    <t>Dokončovací práce - malby a tapety</t>
  </si>
  <si>
    <t>784171101</t>
  </si>
  <si>
    <t>Zakrytí nemalovaných ploch (materiál ve specifikaci) včetně pozdějšího odkrytí podlah</t>
  </si>
  <si>
    <t>644380717</t>
  </si>
  <si>
    <t xml:space="preserve">Poznámka k souboru cen:_x000D_
1. V cenách nejsou započteny náklady na dodávku fólie, tyto se oceňují ve speifikaci.Ztratné lze stanovit ve výši 5%._x000D_
</t>
  </si>
  <si>
    <t>58124844</t>
  </si>
  <si>
    <t>fólie pro malířské potřeby zakrývací tl 25µ 4x5m</t>
  </si>
  <si>
    <t>-255626560</t>
  </si>
  <si>
    <t>784171111</t>
  </si>
  <si>
    <t>Zakrytí nemalovaných ploch (materiál ve specifikaci) včetně pozdějšího odkrytí svislých ploch např. stěn, oken, dveří v místnostech výšky do 3,80</t>
  </si>
  <si>
    <t>-55691107</t>
  </si>
  <si>
    <t>-1424907734</t>
  </si>
  <si>
    <t>784111001</t>
  </si>
  <si>
    <t>Oprášení (ometení) podkladu v místnostech výšky do 3,80 m</t>
  </si>
  <si>
    <t>-433019355</t>
  </si>
  <si>
    <t>784181121</t>
  </si>
  <si>
    <t>Penetrace podkladu jednonásobná hloubková v místnostech výšky do 3,80 m</t>
  </si>
  <si>
    <t>-1151892264</t>
  </si>
  <si>
    <t>784211101</t>
  </si>
  <si>
    <t>Malby z malířských směsí otěruvzdorných za mokra dvojnásobné, bílé za mokra otěruvzdorné výborně v místnostech výšky do 3,80 m</t>
  </si>
  <si>
    <t>1837937966</t>
  </si>
  <si>
    <t>784191001</t>
  </si>
  <si>
    <t>Čištění vnitřních ploch hrubý úklid po provedení malířských prací omytím oken nebo balkonových dveří jednoduchých</t>
  </si>
  <si>
    <t>941368006</t>
  </si>
  <si>
    <t>784191007</t>
  </si>
  <si>
    <t>Čištění vnitřních ploch hrubý úklid po provedení malířských prací omytím podlah</t>
  </si>
  <si>
    <t>-976032315</t>
  </si>
  <si>
    <t>02 - Zdravotechnika</t>
  </si>
  <si>
    <t xml:space="preserve">    4 - Vodorovné konstrukce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</si>
  <si>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</si>
  <si>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</si>
  <si>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</si>
  <si>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</si>
  <si>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HZS - Hodinové zúčtovací sazby</t>
  </si>
  <si>
    <t>VRN - Vedlejší rozpočtové náklady</t>
  </si>
  <si>
    <t xml:space="preserve">    VRN5 - Finanční náklady</t>
  </si>
  <si>
    <t>310235241</t>
  </si>
  <si>
    <t>Zazdívka otvorů ve zdivu nadzákladovém cihlami pálenými plochy do 0,0225 m2, ve zdi tl. do 300 mm</t>
  </si>
  <si>
    <t>1787946167</t>
  </si>
  <si>
    <t>310235251</t>
  </si>
  <si>
    <t>Zazdívka otvorů ve zdivu nadzákladovém cihlami pálenými plochy do 0,0225 m2, ve zdi tl. přes 300 do 450 mm</t>
  </si>
  <si>
    <t>533164749</t>
  </si>
  <si>
    <t>346272216</t>
  </si>
  <si>
    <t>Přizdívky z pórobetonových tvárnic objemová hmotnost do 500 kg/m3, na tenké maltové lože, tloušťka přizdívky 50 mm</t>
  </si>
  <si>
    <t>740941443</t>
  </si>
  <si>
    <t>Poznámka k položce:_x000D_
PŘEDSTĚNOVÉ SYSTÉMY</t>
  </si>
  <si>
    <t>viz část PD - D.2 - INTERIÉROVÉ ŘEŠENÍ</t>
  </si>
  <si>
    <t>Vodorovné konstrukce</t>
  </si>
  <si>
    <t>411388621</t>
  </si>
  <si>
    <t>Zabetonování otvorů ve stropech nebo v klenbách včetně lešení, bednění, odbednění a výztuže (materiál v ceně) ze suchých směsí, tl. do 150 mm ve stropech železobetonových, tvárnicových a prefabrikovaných plochy do 0,25 m2</t>
  </si>
  <si>
    <t>1277059927</t>
  </si>
  <si>
    <t>viz výkr. Půdorys rozvodů vodovod + kanalizace</t>
  </si>
  <si>
    <t>612135101</t>
  </si>
  <si>
    <t>Hrubá výplň rýh maltou jakékoli šířky rýhy ve stěnách</t>
  </si>
  <si>
    <t>867751474</t>
  </si>
  <si>
    <t xml:space="preserve">Poznámka k souboru cen:_x000D_
1. V cenách nejsou započteny náklady na omítku rýh, tyto se ocení příšlušnými cenami tohoto katalogu._x000D_
</t>
  </si>
  <si>
    <t>612325111</t>
  </si>
  <si>
    <t>Vápenocementová omítka rýh hladká ve stěnách, šířky rýhy do 150 mm</t>
  </si>
  <si>
    <t>553554521</t>
  </si>
  <si>
    <t>971033231</t>
  </si>
  <si>
    <t>Vybourání otvorů ve zdivu základovém nebo nadzákladovém z cihel, tvárnic, příčkovek z cihel pálených na maltu vápennou nebo vápenocementovou plochy do 0,0225 m2, tl. do 150 mm</t>
  </si>
  <si>
    <t>1667037479</t>
  </si>
  <si>
    <t>971033251</t>
  </si>
  <si>
    <t>Vybourání otvorů ve zdivu základovém nebo nadzákladovém z cihel, tvárnic, příčkovek z cihel pálených na maltu vápennou nebo vápenocementovou plochy do 0,0225 m2, tl. do 450 mm</t>
  </si>
  <si>
    <t>972054141</t>
  </si>
  <si>
    <t>Vybourání otvorů ve stropech nebo klenbách železobetonových bez odstranění podlahy a násypu, plochy do 0,0225 m2, tl. do 150 mm</t>
  </si>
  <si>
    <t>-93055450</t>
  </si>
  <si>
    <t>974031153</t>
  </si>
  <si>
    <t>Vysekání rýh ve zdivu cihelném na maltu vápennou nebo vápenocementovou do hl. 100 mm a šířky do 100 mm</t>
  </si>
  <si>
    <t>1322949264</t>
  </si>
  <si>
    <t>974031164</t>
  </si>
  <si>
    <t>Vysekání rýh ve zdivu cihelném na maltu vápennou nebo vápenocementovou do hl. 150 mm a šířky do 150 mm</t>
  </si>
  <si>
    <t>-2028132188</t>
  </si>
  <si>
    <t>viz výkr. Půdorys 1.NP a 2.NP - kanalizace</t>
  </si>
  <si>
    <t>2145229452</t>
  </si>
  <si>
    <t>-989227766</t>
  </si>
  <si>
    <t>339049798</t>
  </si>
  <si>
    <t>-815960289</t>
  </si>
  <si>
    <t>-1697082780</t>
  </si>
  <si>
    <t>997-R1</t>
  </si>
  <si>
    <t>Likvidace demontovaného materiálu z původních rozvodů včetně příslušenství</t>
  </si>
  <si>
    <t>soubor</t>
  </si>
  <si>
    <t>-714114331</t>
  </si>
  <si>
    <t>1724199836</t>
  </si>
  <si>
    <t>721</t>
  </si>
  <si>
    <t>Zdravotechnika - vnitřní kanalizace</t>
  </si>
  <si>
    <t>721173401</t>
  </si>
  <si>
    <t>737801196</t>
  </si>
  <si>
    <t xml:space="preserve">Poznámka k souboru cen:_x000D_
1. Cenami -3315 až -3317 se oceňuje svislé potrubí od střešního vtoku po čisticí kus._x000D_
</t>
  </si>
  <si>
    <t>721174043</t>
  </si>
  <si>
    <t>Potrubí z trub polypropylenových připojovací DN 50</t>
  </si>
  <si>
    <t>-666190538</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</si>
  <si>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</si>
  <si>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721174045</t>
  </si>
  <si>
    <t>Potrubí z trub polypropylenových připojovací DN 110</t>
  </si>
  <si>
    <t>627262322</t>
  </si>
  <si>
    <t>721174063</t>
  </si>
  <si>
    <t>Potrubí z trub polypropylenových větrací DN 110</t>
  </si>
  <si>
    <t>1468417384</t>
  </si>
  <si>
    <t>721194105</t>
  </si>
  <si>
    <t>Vyměření přípojek na potrubí vyvedení a upevnění odpadních výpustek DN 50</t>
  </si>
  <si>
    <t>506099947</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</si>
  <si>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</si>
  <si>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721194109</t>
  </si>
  <si>
    <t>Vyměření přípojek na potrubí vyvedení a upevnění odpadních výpustek DN 110</t>
  </si>
  <si>
    <t>483627557</t>
  </si>
  <si>
    <t>721290111</t>
  </si>
  <si>
    <t>Zkouška těsnosti kanalizace v objektech vodou do DN 125</t>
  </si>
  <si>
    <t>-497077051</t>
  </si>
  <si>
    <t>998721201</t>
  </si>
  <si>
    <t>Přesun hmot pro vnitřní kanalizace stanovený procentní sazbou (%) z ceny vodorovná dopravní vzdálenost do 50 m v objektech výšky do 6 m</t>
  </si>
  <si>
    <t>-1543765637</t>
  </si>
  <si>
    <t>998721292</t>
  </si>
  <si>
    <t>Přesun hmot pro vnitřní kanalizace stanovený procentní sazbou (%) z ceny Příplatek k cenám za zvětšený přesun přes vymezenou největší dopravní vzdálenost do 100 m</t>
  </si>
  <si>
    <t>-183451150</t>
  </si>
  <si>
    <t>722</t>
  </si>
  <si>
    <t>Zdravotechnika - vnitřní vodovod</t>
  </si>
  <si>
    <t>722174001</t>
  </si>
  <si>
    <t>Potrubí z plastových trubek z polypropylenu PPR svařovaných polyfuzně PN 16 (SDR 7,4) D 16 x 2,2</t>
  </si>
  <si>
    <t>-170653446</t>
  </si>
  <si>
    <t>viz výkr. Půdorys 1.NP a 2.NP - vodovod</t>
  </si>
  <si>
    <t>722174002</t>
  </si>
  <si>
    <t>Potrubí z plastových trubek z polypropylenu PPR svařovaných polyfuzně PN 16 (SDR 7,4) D 20 x 2,8</t>
  </si>
  <si>
    <t>-913680916</t>
  </si>
  <si>
    <t>722181251</t>
  </si>
  <si>
    <t>Ochrana potrubí termoizolačními trubicemi z pěnového polyetylenu PE přilepenými v příčných a podélných spojích, tloušťky izolace přes 20 do 25 mm, vnitřního průměru izolace DN do 22 mm</t>
  </si>
  <si>
    <t>1033824846</t>
  </si>
  <si>
    <t xml:space="preserve">Poznámka k souboru cen:_x000D_
1. V cenách -1211 až -1256 jsou započteny i náklady na dodání tepelně izolačních trubic._x000D_
</t>
  </si>
  <si>
    <t>722220151</t>
  </si>
  <si>
    <t>Armatury s jedním závitem plastové (PPR) PN 20 (SDR 6) DN 16 x G 1/2"</t>
  </si>
  <si>
    <t>1170757479</t>
  </si>
  <si>
    <t xml:space="preserve">Poznámka k souboru cen:_x000D_
1. Cenami -9101 až -9108 nelze oceňovat montáž nástěnek._x000D_
2. V cenách –0111 až -0122 je započteno i vyvedení a upevnění výpustek._x000D_
</t>
  </si>
  <si>
    <t>722232171</t>
  </si>
  <si>
    <t>Armatury se dvěma závity kulové kohouty PN 42 do 185 °C rohové plnoprůtokové vnější a vnitřní závit G 1/2"</t>
  </si>
  <si>
    <t>1446811159</t>
  </si>
  <si>
    <t>722290226</t>
  </si>
  <si>
    <t>Zkoušky, proplach a desinfekce vodovodního potrubí zkoušky těsnosti vodovodního potrubí závitového do DN 50</t>
  </si>
  <si>
    <t>1709706836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</si>
  <si>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</si>
  <si>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</si>
  <si>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</si>
  <si>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-1418689462</t>
  </si>
  <si>
    <t>998722201</t>
  </si>
  <si>
    <t>Přesun hmot pro vnitřní vodovod stanovený procentní sazbou (%) z ceny vodorovná dopravní vzdálenost do 50 m v objektech výšky do 6 m</t>
  </si>
  <si>
    <t>-1933645215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</si>
  <si>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</si>
  <si>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998722292</t>
  </si>
  <si>
    <t>Přesun hmot pro vnitřní vodovod stanovený procentní sazbou (%) z ceny Příplatek k cenám za zvětšený přesun přes vymezenou největší dopravní vzdálenost do 100 m</t>
  </si>
  <si>
    <t>-1988389283</t>
  </si>
  <si>
    <t>725</t>
  </si>
  <si>
    <t>Zdravotechnika - zařizovací předměty</t>
  </si>
  <si>
    <t>725110811</t>
  </si>
  <si>
    <t>Demontáž klozetů splachovacích s nádrží nebo tlakovým splachovačem</t>
  </si>
  <si>
    <t>1683789264</t>
  </si>
  <si>
    <t>725210821</t>
  </si>
  <si>
    <t>Demontáž umyvadel bez výtokových armatur umyvadel</t>
  </si>
  <si>
    <t>-1778527259</t>
  </si>
  <si>
    <t>725310823</t>
  </si>
  <si>
    <t>Demontáž dřezů jednodílných bez výtokových armatur vestavěných v kuchyňských sestavách</t>
  </si>
  <si>
    <t>575009597</t>
  </si>
  <si>
    <t>725820801</t>
  </si>
  <si>
    <t>Demontáž baterií nástěnných do G 3/4</t>
  </si>
  <si>
    <t>-380954308</t>
  </si>
  <si>
    <t>viz předchozí výpočtxy</t>
  </si>
  <si>
    <t>725840850</t>
  </si>
  <si>
    <t>Demontáž baterií sprchových diferenciálních do G 3/4 x 1</t>
  </si>
  <si>
    <t>1425032260</t>
  </si>
  <si>
    <t>725860811</t>
  </si>
  <si>
    <t>Demontáž zápachových uzávěrek pro zařizovací předměty jednoduchých</t>
  </si>
  <si>
    <t>1403232781</t>
  </si>
  <si>
    <t>725590811</t>
  </si>
  <si>
    <t>Vnitrostaveništní přemístění vybouraných (demontovaných) hmot zařizovacích předmětů vodorovně do 100 m v objektech výšky do 6 m</t>
  </si>
  <si>
    <t>552204479</t>
  </si>
  <si>
    <t>725119125</t>
  </si>
  <si>
    <t>Zařízení záchodů montáž klozetových mís závěsných na nosné stěny</t>
  </si>
  <si>
    <t>851867522</t>
  </si>
  <si>
    <t xml:space="preserve">Poznámka k souboru cen:_x000D_
1. V cenách -1351, -1361 není započten napájecí zdroj._x000D_
2. V cenách jsou započtená klozetová sedátka._x000D_
</t>
  </si>
  <si>
    <t>Poznámka k položce:_x000D_
POLOŽKA KALKULOVÁNA VČETNĚ MONTÁŽE SEDÁTKA A PŘÍSLUŠENSTVÍ</t>
  </si>
  <si>
    <t>WC</t>
  </si>
  <si>
    <t>-70839603</t>
  </si>
  <si>
    <t>725219102</t>
  </si>
  <si>
    <t>Umyvadla montáž umyvadel ostatních typů na šrouby</t>
  </si>
  <si>
    <t>-733630421</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</si>
  <si>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-4151-56, -4161-63, -4211, 21, 31, není započten napájecí zdroj._x000D_
</t>
  </si>
  <si>
    <t>UM</t>
  </si>
  <si>
    <t>-584653164</t>
  </si>
  <si>
    <t>725829131</t>
  </si>
  <si>
    <t>Baterie umyvadlové montáž ostatních typů stojánkových G 1/2"</t>
  </si>
  <si>
    <t>-1302317372</t>
  </si>
  <si>
    <t xml:space="preserve">Poznámka k souboru cen:_x000D_
1. V cenách –2654, 56, -9101-9202 není započten napájecí zdroj._x000D_
</t>
  </si>
  <si>
    <t>UM-BAT</t>
  </si>
  <si>
    <t>1511030170</t>
  </si>
  <si>
    <t>725861102</t>
  </si>
  <si>
    <t>Zápachové uzávěrky zařizovacích předmětů pro umyvadla DN 40</t>
  </si>
  <si>
    <t>-967770513</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</si>
  <si>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</si>
  <si>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725862103</t>
  </si>
  <si>
    <t>Zápachové uzávěrky zařizovacích předmětů pro dřezy DN 40/50</t>
  </si>
  <si>
    <t>-1516303560</t>
  </si>
  <si>
    <t>SPRCH-DV-1</t>
  </si>
  <si>
    <t>-602493486</t>
  </si>
  <si>
    <t>SPRCH-K-1</t>
  </si>
  <si>
    <t>2061089061</t>
  </si>
  <si>
    <t>SPRCH-VAN-2</t>
  </si>
  <si>
    <t>628059795</t>
  </si>
  <si>
    <t>725849411</t>
  </si>
  <si>
    <t>Baterie sprchové montáž nástěnných baterií s nastavitelnou výškou sprchy</t>
  </si>
  <si>
    <t>1148559150</t>
  </si>
  <si>
    <t xml:space="preserve">Poznámka k souboru cen:_x000D_
1. V cenách –1353-54 není započten napájecí zdroj._x000D_
</t>
  </si>
  <si>
    <t>Poznámka k položce:_x000D_
POLOŽKA KALKULOVÁNA VČETNĚ MONTÁŽE SPRCHOVÉHO SETU !!!</t>
  </si>
  <si>
    <t>SPRCH-BAT</t>
  </si>
  <si>
    <t>1558588902</t>
  </si>
  <si>
    <t>SPRCH-SET</t>
  </si>
  <si>
    <t>634884175</t>
  </si>
  <si>
    <t>725865311</t>
  </si>
  <si>
    <t>Zápachové uzávěrky zařizovacích předmětů pro vany sprchových koutů s kulovým kloubem na odtoku DN 40/50</t>
  </si>
  <si>
    <t>1691455039</t>
  </si>
  <si>
    <t>725865501</t>
  </si>
  <si>
    <t>Zápachové uzávěrky zařizovacích předmětů odpadní soupravy se zápachovou uzávěrkou DN 40/50</t>
  </si>
  <si>
    <t>20736204</t>
  </si>
  <si>
    <t>998725201</t>
  </si>
  <si>
    <t>Přesun hmot pro zařizovací předměty stanovený procentní sazbou (%) z ceny vodorovná dopravní vzdálenost do 50 m v objektech výšky do 6 m</t>
  </si>
  <si>
    <t>-113231773</t>
  </si>
  <si>
    <t>998725292</t>
  </si>
  <si>
    <t>Přesun hmot pro zařizovací předměty stanovený procentní sazbou (%) z ceny Příplatek k cenám za zvětšený přesun přes vymezenou největší dopravní vzdálenost do 100 m</t>
  </si>
  <si>
    <t>-199275421</t>
  </si>
  <si>
    <t>726</t>
  </si>
  <si>
    <t>Zdravotechnika - předstěnové instalace</t>
  </si>
  <si>
    <t>726111031</t>
  </si>
  <si>
    <t>Předstěnové instalační systémy pro zazdění do masivních zděných konstrukcí pro závěsné klozety ovládání zepředu, stavební výška 1080 mm</t>
  </si>
  <si>
    <t>-757141301</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</si>
  <si>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</si>
  <si>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Poznámka k položce:_x000D_
UPOZORNĚNÍ - POLOŽKA JE KALKULOVÁNA VČETNĚ DODÁVKY A MONTÁŽE OVLÁDACÍHO TLAČÍTKA (plast, chrom, bílá barva, rozm. 24.7x16,5x1,75 cm)</t>
  </si>
  <si>
    <t>726191001</t>
  </si>
  <si>
    <t>Ostatní příslušenství instalačních systémů zvukoizolační souprava pro WC a bidet</t>
  </si>
  <si>
    <t>2093615098</t>
  </si>
  <si>
    <t>726191002</t>
  </si>
  <si>
    <t>Ostatní příslušenství instalačních systémů souprava pro předstěnovou montáž</t>
  </si>
  <si>
    <t>1988445419</t>
  </si>
  <si>
    <t>998726211</t>
  </si>
  <si>
    <t>Přesun hmot pro instalační prefabrikáty stanovený procentní sazbou (%) z ceny vodorovná dopravní vzdálenost do 50 m v objektech výšky do 6 m</t>
  </si>
  <si>
    <t>-434972464</t>
  </si>
  <si>
    <t>998726292</t>
  </si>
  <si>
    <t>Přesun hmot pro instalační prefabrikáty stanovený procentní sazbou (%) z ceny Příplatek k cenám za zvětšený přesun přes vymezenou největší dopravní vzdálenost do 100 m</t>
  </si>
  <si>
    <t>1061348621</t>
  </si>
  <si>
    <t>HZS</t>
  </si>
  <si>
    <t>Hodinové zúčtovací sazby</t>
  </si>
  <si>
    <t>HZS1301</t>
  </si>
  <si>
    <t>Hodinové zúčtovací sazby profesí HSV provádění konstrukcí zedník</t>
  </si>
  <si>
    <t>hod</t>
  </si>
  <si>
    <t>512</t>
  </si>
  <si>
    <t>-1696625970</t>
  </si>
  <si>
    <t>Poznámka k položce:_x000D_
OSTATNÍ ZEDNICKÉ ZAČIŠTĚNÍ PROSTUPŮ, apod.</t>
  </si>
  <si>
    <t>Vedlejší rozpočtové náklady</t>
  </si>
  <si>
    <t>VRN5</t>
  </si>
  <si>
    <t>Finanční náklady</t>
  </si>
  <si>
    <t>052103000</t>
  </si>
  <si>
    <t>Rezerva investora</t>
  </si>
  <si>
    <t>Kč</t>
  </si>
  <si>
    <t>1024</t>
  </si>
  <si>
    <t>572259624</t>
  </si>
  <si>
    <t>03 - Vytápění</t>
  </si>
  <si>
    <t xml:space="preserve">    733 - Ústřední vytápění - rozvodné potrubí</t>
  </si>
  <si>
    <t xml:space="preserve">    734 - Ústřední vytápění - armatury</t>
  </si>
  <si>
    <t xml:space="preserve">    735 - Ústřední vytápění - otopná tělesa</t>
  </si>
  <si>
    <t>1499471180</t>
  </si>
  <si>
    <t>viz výkr. Půdorys rozvodů ústředního vytápění</t>
  </si>
  <si>
    <t>-789147613</t>
  </si>
  <si>
    <t>807193064</t>
  </si>
  <si>
    <t>733</t>
  </si>
  <si>
    <t>Ústřední vytápění - rozvodné potrubí</t>
  </si>
  <si>
    <t>733223202</t>
  </si>
  <si>
    <t>Potrubí z trubek měděných tvrdých spojovaných tvrdým pájením Ø 15/1</t>
  </si>
  <si>
    <t>1852287804</t>
  </si>
  <si>
    <t>733291101</t>
  </si>
  <si>
    <t>Zkoušky těsnosti potrubí z trubek měděných Ø do 35/1,5</t>
  </si>
  <si>
    <t>-1298925207</t>
  </si>
  <si>
    <t>733811251</t>
  </si>
  <si>
    <t>Ochrana potrubí termoizolačními trubicemi z pěnového polyetylenu PE přilepenými v příčných a podélných spojích, tloušťky izolace přes 20 do 25 mm, vnitřního průměru izolace DN do 22 mm</t>
  </si>
  <si>
    <t>1080676487</t>
  </si>
  <si>
    <t>998733201</t>
  </si>
  <si>
    <t>Přesun hmot pro rozvody potrubí stanovený procentní sazbou z ceny vodorovná dopravní vzdálenost do 50 m v objektech výšky do 6 m</t>
  </si>
  <si>
    <t>-1884201636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</si>
  <si>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</si>
  <si>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998733293</t>
  </si>
  <si>
    <t>Přesun hmot pro rozvody potrubí stanovený procentní sazbou z ceny Příplatek k cenám za zvětšený přesun přes vymezenou největší dopravní vzdálenost do 500 m</t>
  </si>
  <si>
    <t>217608367</t>
  </si>
  <si>
    <t>734</t>
  </si>
  <si>
    <t>Ústřední vytápění - armatury</t>
  </si>
  <si>
    <t>734221545</t>
  </si>
  <si>
    <t>Ventily regulační závitové termostatické, bez hlavice ovládání PN 16 do 110°C přímé jednoregulační G 1/2</t>
  </si>
  <si>
    <t>1928913723</t>
  </si>
  <si>
    <t xml:space="preserve">Poznámka k souboru cen:_x000D_
1. V cenách -0101 až -0105 nejsou započteny náklady na dodávku a montáž měřící a vypouštěcí armatury.Tyto se oceňují samostatně souborem cen 734 49 1101 až -1105._x000D_
</t>
  </si>
  <si>
    <t>734221682</t>
  </si>
  <si>
    <t>Ventily regulační závitové hlavice termostatické, pro ovládání ventilů PN 10 do 110°C kapalinové otopných těles VK</t>
  </si>
  <si>
    <t>1654519201</t>
  </si>
  <si>
    <t>734261402</t>
  </si>
  <si>
    <t>Šroubení připojovací armatury radiátorů VK PN 10 do 110°C, regulační uzavíratelné rohové G 1/2 x 18</t>
  </si>
  <si>
    <t>1692481452</t>
  </si>
  <si>
    <t>998734201</t>
  </si>
  <si>
    <t>Přesun hmot pro armatury stanovený procentní sazbou (%) z ceny vodorovná dopravní vzdálenost do 50 m v objektech výšky do 6 m</t>
  </si>
  <si>
    <t>708631258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</si>
  <si>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</si>
  <si>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998734293</t>
  </si>
  <si>
    <t>Přesun hmot pro armatury stanovený procentní sazbou (%) z ceny Příplatek k cenám za zvětšený přesun přes vymezenou největší dopravní vzdálenost do 500 m</t>
  </si>
  <si>
    <t>2076861952</t>
  </si>
  <si>
    <t>735</t>
  </si>
  <si>
    <t>Ústřední vytápění - otopná tělesa</t>
  </si>
  <si>
    <t xml:space="preserve">Poznámka k souboru cen:_x000D_
1. Ceny lze použít pro jakýkoli způsob připojení._x000D_
</t>
  </si>
  <si>
    <t>735151575</t>
  </si>
  <si>
    <t>Otopná tělesa panelová dvoudesková PN 1,0 MPa, T do 110°C se dvěma přídavnými přestupními plochami výšky tělesa 600 mm stavební délky / výkonu 800 mm / 1343 W</t>
  </si>
  <si>
    <t>310022674</t>
  </si>
  <si>
    <t>1+2</t>
  </si>
  <si>
    <t>998735201</t>
  </si>
  <si>
    <t>Přesun hmot pro otopná tělesa stanovený procentní sazbou (%) z ceny vodorovná dopravní vzdálenost do 50 m v objektech výšky do 6 m</t>
  </si>
  <si>
    <t>670834304</t>
  </si>
  <si>
    <t>998735293</t>
  </si>
  <si>
    <t>Přesun hmot pro otopná tělesa stanovený procentní sazbou (%) z ceny Příplatek k cenám za zvětšený přesun přes vymezenou největší dopravní vzdálenost do 500 m</t>
  </si>
  <si>
    <t>-916510295</t>
  </si>
  <si>
    <t>783601713</t>
  </si>
  <si>
    <t>Příprava podkladu armatur a kovových potrubí před provedením nátěru potrubí do DN 50 mm odmaštěním, odmašťovačem vodou ředitelným</t>
  </si>
  <si>
    <t>2110744487</t>
  </si>
  <si>
    <t>783614551</t>
  </si>
  <si>
    <t>Základní nátěr armatur a kovových potrubí jednonásobný potrubí do DN 50 mm syntetický</t>
  </si>
  <si>
    <t>-1402871947</t>
  </si>
  <si>
    <t>-1719940943</t>
  </si>
  <si>
    <t>HZS2211</t>
  </si>
  <si>
    <t>Hodinové zúčtovací sazby profesí PSV provádění stavebních instalací instalatér</t>
  </si>
  <si>
    <t>1482663234</t>
  </si>
  <si>
    <t>Poznámka k položce:_x000D_
DEMONTÁŽ STÁVAJÍCÍCH ROZVODŮ VYTÁPĚNÍ VČETNĚ OTOPNÝCH TĚLES</t>
  </si>
  <si>
    <t>HZS2212</t>
  </si>
  <si>
    <t>Hodinové zúčtovací sazby profesí PSV provádění stavebních instalací instalatér odborný</t>
  </si>
  <si>
    <t>-1092641172</t>
  </si>
  <si>
    <t>Poznámka k položce:_x000D_
TOPNÁ ZKOUŠKA apod.</t>
  </si>
  <si>
    <t>04 - Elektroinstalace</t>
  </si>
  <si>
    <t xml:space="preserve">    741 - Elektroinstalace - silnoproud</t>
  </si>
  <si>
    <t xml:space="preserve">    742 - Elektroinstalace - slaboproud</t>
  </si>
  <si>
    <t>1220265776</t>
  </si>
  <si>
    <t>-1150565892</t>
  </si>
  <si>
    <t>1189641557</t>
  </si>
  <si>
    <t>viz výkr. Půdorys 1.NP, 2.NP - elektroinstalace</t>
  </si>
  <si>
    <t>971033131</t>
  </si>
  <si>
    <t>Vybourání otvorů ve zdivu základovém nebo nadzákladovém z cihel, tvárnic, příčkovek z cihel pálených na maltu vápennou nebo vápenocementovou průměru profilu do 60 mm, tl. do 150 mm</t>
  </si>
  <si>
    <t>-180805958</t>
  </si>
  <si>
    <t>62546605</t>
  </si>
  <si>
    <t>974031142</t>
  </si>
  <si>
    <t>Vysekání rýh ve zdivu cihelném na maltu vápennou nebo vápenocementovou do hl. 70 mm a šířky do 70 mm</t>
  </si>
  <si>
    <t>538766252</t>
  </si>
  <si>
    <t>-536592592</t>
  </si>
  <si>
    <t>-1661316381</t>
  </si>
  <si>
    <t>-2113245925</t>
  </si>
  <si>
    <t>1690936797</t>
  </si>
  <si>
    <t>-2103603014</t>
  </si>
  <si>
    <t>-1564165786</t>
  </si>
  <si>
    <t>-1275672163</t>
  </si>
  <si>
    <t>741</t>
  </si>
  <si>
    <t>Elektroinstalace - silnoproud</t>
  </si>
  <si>
    <t>741110041</t>
  </si>
  <si>
    <t>Montáž trubek elektroinstalačních s nasunutím nebo našroubováním do krabic plastových ohebných, uložených pevně, vnější Ø přes 11 do 23 mm</t>
  </si>
  <si>
    <t>1165998638</t>
  </si>
  <si>
    <t>34571150</t>
  </si>
  <si>
    <t>trubka elektroinstalační ohebná z PH, D 13,5/18,7mm</t>
  </si>
  <si>
    <t>-549270784</t>
  </si>
  <si>
    <t>741112001</t>
  </si>
  <si>
    <t>Montáž krabic elektroinstalačních bez napojení na trubky a lišty, demontáže a montáže víčka a přístroje protahovacích nebo odbočných zapuštěných plastových kruhových</t>
  </si>
  <si>
    <t>2114522363</t>
  </si>
  <si>
    <t>34571519</t>
  </si>
  <si>
    <t>krabice univerzální odbočná z PH s víčkem, D 73,5mmx43mm</t>
  </si>
  <si>
    <t>97838674</t>
  </si>
  <si>
    <t>741112061</t>
  </si>
  <si>
    <t>Montáž krabic elektroinstalačních bez napojení na trubky a lišty, demontáže a montáže víčka a přístroje přístrojových zapuštěných plastových kruhových</t>
  </si>
  <si>
    <t>1334145257</t>
  </si>
  <si>
    <t>34571512</t>
  </si>
  <si>
    <t>krabice přístrojová instalační 500V, 71x71x42mm</t>
  </si>
  <si>
    <t>-1105819999</t>
  </si>
  <si>
    <t>741122015</t>
  </si>
  <si>
    <t>Montáž kabelů měděných bez ukončení uložených pod omítku plných kulatých (např. CYKY), počtu a průřezu žil 3x1,5 mm2</t>
  </si>
  <si>
    <t>1254293984</t>
  </si>
  <si>
    <t>34111030</t>
  </si>
  <si>
    <t>kabel silový s Cu jádrem 1kV 3x1,5mm2 (CYKY)</t>
  </si>
  <si>
    <t>871887632</t>
  </si>
  <si>
    <t>741122016</t>
  </si>
  <si>
    <t>Montáž kabelů měděných bez ukončení uložených pod omítku plných kulatých (např. CYKY), počtu a průřezu žil 3x2,5 až 6 mm2</t>
  </si>
  <si>
    <t>-480609978</t>
  </si>
  <si>
    <t>34111036</t>
  </si>
  <si>
    <t>kabel silový s Cu jádrem 1kV 3x2,5mm2 (CYKY)</t>
  </si>
  <si>
    <t>795344291</t>
  </si>
  <si>
    <t>741122122</t>
  </si>
  <si>
    <t>Montáž kabelů měděných bez ukončení uložených v trubkách zatažených plných kulatých nebo bezhalogenových (např. CYKY) počtu a průřezu žil 3x1,5 až 6 mm2</t>
  </si>
  <si>
    <t>-1802551288</t>
  </si>
  <si>
    <t>1907296920</t>
  </si>
  <si>
    <t>741130001</t>
  </si>
  <si>
    <t>Ukončení vodičů izolovaných s označením a zapojením v rozváděči nebo na přístroji, průřezu žíly do 2,5 mm2</t>
  </si>
  <si>
    <t>220323308</t>
  </si>
  <si>
    <t>741130021</t>
  </si>
  <si>
    <t>Ukončení vodičů izolovaných s označením a zapojením na svorkovnici s otevřením a uzavřením krytu, průřezu žíly do 2,5 mm2</t>
  </si>
  <si>
    <t>481126795</t>
  </si>
  <si>
    <t>741310001</t>
  </si>
  <si>
    <t>Montáž spínačů jedno nebo dvoupólových nástěnných se zapojením vodičů, pro prostředí normální vypínačů, řazení 1-jednopólových</t>
  </si>
  <si>
    <t>1618254478</t>
  </si>
  <si>
    <t>34535512</t>
  </si>
  <si>
    <t>spínač jednopólový 10A bílý</t>
  </si>
  <si>
    <t>-1749475215</t>
  </si>
  <si>
    <t>Poznámka k položce:_x000D_
KOMPLETNÍ - VČ. RÁMEČKU</t>
  </si>
  <si>
    <t>741310003</t>
  </si>
  <si>
    <t>Montáž spínačů jedno nebo dvoupólových nástěnných se zapojením vodičů, pro prostředí normální vypínačů, řazení 2-dvoupólových</t>
  </si>
  <si>
    <t>39950256</t>
  </si>
  <si>
    <t>8500143361</t>
  </si>
  <si>
    <t>spínač dvoupólový 10A bílý</t>
  </si>
  <si>
    <t>-1484679708</t>
  </si>
  <si>
    <t>741313043</t>
  </si>
  <si>
    <t>Montáž zásuvek domovních se zapojením vodičů šroubové připojení polozapuštěných nebo zapuštěných 10/16 A, provedení 2x (2P + PE) dvojnásobná</t>
  </si>
  <si>
    <t>-1193999202</t>
  </si>
  <si>
    <t>34555120</t>
  </si>
  <si>
    <t>zásuvka 2násobná 16A bílá</t>
  </si>
  <si>
    <t>1152541651</t>
  </si>
  <si>
    <t>741372051</t>
  </si>
  <si>
    <t>Montáž svítidel LED se zapojením vodičů bytových nebo společenských místností přisazených stropních bez pohybového čidla</t>
  </si>
  <si>
    <t>-1935511544</t>
  </si>
  <si>
    <t>TYP 1</t>
  </si>
  <si>
    <t>LED svítidlo stropní, 14 W</t>
  </si>
  <si>
    <t>-2112223084</t>
  </si>
  <si>
    <t>741372052</t>
  </si>
  <si>
    <t>Montáž svítidel LED se zapojením vodičů bytových nebo společenských místností přisazených stropních s pohybovým čidlem</t>
  </si>
  <si>
    <t>-1939184802</t>
  </si>
  <si>
    <t>TYP 2</t>
  </si>
  <si>
    <t>LED svítidlo stropní s čidlem pohybu, 11 W</t>
  </si>
  <si>
    <t>-1746353668</t>
  </si>
  <si>
    <t>741372012</t>
  </si>
  <si>
    <t>Montáž svítidel LED se zapojením vodičů bytových nebo společenských místností přisazených nástěnných bez pohybového čidla</t>
  </si>
  <si>
    <t>1999493770</t>
  </si>
  <si>
    <t>TYP 3</t>
  </si>
  <si>
    <t>2001624217</t>
  </si>
  <si>
    <t>741372013</t>
  </si>
  <si>
    <t>Montáž svítidel LED se zapojením vodičů bytových nebo společenských místností přisazených nástěnných s pohybovým čidlem</t>
  </si>
  <si>
    <t>771703757</t>
  </si>
  <si>
    <t>TYP 4</t>
  </si>
  <si>
    <t>LED svítidlo nástěnné s čidlem pohybu, 11 W</t>
  </si>
  <si>
    <t>-1264777807</t>
  </si>
  <si>
    <t>74137205R</t>
  </si>
  <si>
    <t>Montáž svítidel LED se zapojením vodičů bytových nebo společenských místností "bodových" stropních bez pohybového čidla</t>
  </si>
  <si>
    <t>-2094945477</t>
  </si>
  <si>
    <t>TYP 5</t>
  </si>
  <si>
    <t>LED svítidlo bodové stropní (pro SDK podhled), 6W</t>
  </si>
  <si>
    <t>567698676</t>
  </si>
  <si>
    <t>741-R1</t>
  </si>
  <si>
    <t>-1922194802</t>
  </si>
  <si>
    <t>741-R3</t>
  </si>
  <si>
    <t>-1107166154</t>
  </si>
  <si>
    <t>741810001</t>
  </si>
  <si>
    <t>Zkoušky a prohlídky elektrických rozvodů a zařízení celková prohlídka a vyhotovení revizní zprávy pro objem montážních prací do 100 tis. Kč</t>
  </si>
  <si>
    <t>1565412712</t>
  </si>
  <si>
    <t xml:space="preserve">Poznámka k souboru cen:_x000D_
1. Ceny -0001 až -0011 jsou určeny pro objem montážních prací včetně všech nákladů._x000D_
</t>
  </si>
  <si>
    <t>998741201</t>
  </si>
  <si>
    <t>Přesun hmot pro silnoproud stanovený procentní sazbou (%) z ceny vodorovná dopravní vzdálenost do 50 m v objektech výšky do 6 m</t>
  </si>
  <si>
    <t>1900453161</t>
  </si>
  <si>
    <t>998741292</t>
  </si>
  <si>
    <t>Přesun hmot pro silnoproud stanovený procentní sazbou (%) z ceny Příplatek k cenám za zvětšený přesun přes vymezenou největší dopravní vzdálenost do 100 m</t>
  </si>
  <si>
    <t>298628023</t>
  </si>
  <si>
    <t>742</t>
  </si>
  <si>
    <t>Elektroinstalace - slaboproud</t>
  </si>
  <si>
    <t>742121001</t>
  </si>
  <si>
    <t>Montáž kabelů sdělovacích pro vnitřní rozvody počtu žil do 15</t>
  </si>
  <si>
    <t>301606654</t>
  </si>
  <si>
    <t xml:space="preserve">Poznámka k souboru cen:_x000D_
1. Ceny lze použít i pro ocenění koaxiálních kabelů._x000D_
</t>
  </si>
  <si>
    <t>34121044</t>
  </si>
  <si>
    <t>kabel sdělovací s Cu jádrem 2x2x0,5mm (SYKFY)</t>
  </si>
  <si>
    <t>-1989794019</t>
  </si>
  <si>
    <t>-846976828</t>
  </si>
  <si>
    <t>0031504</t>
  </si>
  <si>
    <t>Koaxiální kabel, plášť PVC, vnitřní instalace, do 250m, balení 100m</t>
  </si>
  <si>
    <t>-236625116</t>
  </si>
  <si>
    <t>742122001</t>
  </si>
  <si>
    <t>Montáž kabelové spojky nebo svorkovnice do 15 žil</t>
  </si>
  <si>
    <t>-1180351557</t>
  </si>
  <si>
    <t>35436031</t>
  </si>
  <si>
    <t>spojka kabelová smršťovaná přímá do 1kV  91ahsc-95 3-4ž.x50-95mm</t>
  </si>
  <si>
    <t>1049222179</t>
  </si>
  <si>
    <t>742330041</t>
  </si>
  <si>
    <t>Montáž strukturované kabeláže zásuvek datových pod omítku, do nábytku, do parapetního žlabu nebo podlahové krabice jednozásuvky</t>
  </si>
  <si>
    <t>-2060890594</t>
  </si>
  <si>
    <t>8500048098</t>
  </si>
  <si>
    <t>Zásuvka datová CAT6 UTP 2xRJ45, Solarix</t>
  </si>
  <si>
    <t>-1789923884</t>
  </si>
  <si>
    <t>742330051</t>
  </si>
  <si>
    <t>Montáž strukturované kabeláže zásuvek datových popis portu zásuvky</t>
  </si>
  <si>
    <t>-2104405523</t>
  </si>
  <si>
    <t>742420121</t>
  </si>
  <si>
    <t>Montáž společné televizní antény televizní zásuvky koncové nebo průběžné</t>
  </si>
  <si>
    <t>1292836364</t>
  </si>
  <si>
    <t>37451224</t>
  </si>
  <si>
    <t>zásuvka tv+r+sat ostatní barvy</t>
  </si>
  <si>
    <t>1445069941</t>
  </si>
  <si>
    <t>998742201</t>
  </si>
  <si>
    <t>Přesun hmot pro slaboproud stanovený procentní sazbou (%) z ceny vodorovná dopravní vzdálenost do 50 m v objektech výšky do 6 m</t>
  </si>
  <si>
    <t>-410145268</t>
  </si>
  <si>
    <t>998742292</t>
  </si>
  <si>
    <t>Přesun hmot pro slaboproud stanovený procentní sazbou (%) z ceny Příplatek k cenám za zvětšený přesun přes vymezenou největší dopravní vzdálenost do 100 m</t>
  </si>
  <si>
    <t>-752991768</t>
  </si>
  <si>
    <t>282031258</t>
  </si>
  <si>
    <t>HZS2221</t>
  </si>
  <si>
    <t>Hodinové zúčtovací sazby profesí PSV provádění stavebních instalací elektrikář</t>
  </si>
  <si>
    <t>-561391625</t>
  </si>
  <si>
    <t>Poznámka k položce:_x000D_
DEMONTÁŽ STÁVAJÍCÍCH ROZVODŮ ELEKTROINSTALACE, VYPÍNAČŮ, ZÁSUVEK, SVÍTIDEL, apod.</t>
  </si>
  <si>
    <t>HZS2222</t>
  </si>
  <si>
    <t>Hodinové zúčtovací sazby profesí PSV provádění stavebních instalací elektrikář odborný</t>
  </si>
  <si>
    <t>370734724</t>
  </si>
  <si>
    <t>Poznámka k položce:_x000D_
ÚPRAVY VE STÁVAJÍCÍM ROZUVADĚČI R1 a R2</t>
  </si>
  <si>
    <t>05 - VZT</t>
  </si>
  <si>
    <t xml:space="preserve">    713 - Izolace tepelné</t>
  </si>
  <si>
    <t xml:space="preserve">    751 - Vzduchotechnika</t>
  </si>
  <si>
    <t>-289926654</t>
  </si>
  <si>
    <t>2113349268</t>
  </si>
  <si>
    <t>viz Půdorys 1.NP, 2.NP - vzduchotechnika</t>
  </si>
  <si>
    <t>713</t>
  </si>
  <si>
    <t>Izolace tepelné</t>
  </si>
  <si>
    <t>713411131</t>
  </si>
  <si>
    <t>Montáž izolace tepelné potrubí a ohybů pásy nebo rohožemi s povrchovou úpravou hliníkovou fólií připevněnými ocelovým drátem do konstrukce z ocelových pásů potrubí jednovrstvá</t>
  </si>
  <si>
    <t>55170821</t>
  </si>
  <si>
    <t>63151671</t>
  </si>
  <si>
    <t>rohož izolační z minerální vlny lamelová s Al fólií 55kg/m3 tl 40mm</t>
  </si>
  <si>
    <t>-1088875497</t>
  </si>
  <si>
    <t>998713192</t>
  </si>
  <si>
    <t>Přesun hmot pro izolace tepelné stanovený z hmotnosti přesunovaného materiálu Příplatek k cenám za zvětšený přesun přes vymezenou největší dopravní vzdálenost do 100 m</t>
  </si>
  <si>
    <t>-1850161766</t>
  </si>
  <si>
    <t>998713201</t>
  </si>
  <si>
    <t>Přesun hmot pro izolace tepelné stanovený procentní sazbou (%) z ceny vodorovná dopravní vzdálenost do 50 m v objektech výšky do 6 m</t>
  </si>
  <si>
    <t>1611958765</t>
  </si>
  <si>
    <t>751</t>
  </si>
  <si>
    <t>Vzduchotechnika</t>
  </si>
  <si>
    <t>751111051</t>
  </si>
  <si>
    <t>Montáž ventilátoru axiálního nízkotlakého podhledového, průměru do 100 mm</t>
  </si>
  <si>
    <t>-134032044</t>
  </si>
  <si>
    <t>751-spc002</t>
  </si>
  <si>
    <t>malý axiální ventilátor pro kruhové potrubí DN 100 mm, skříňz nárazuvzdorného plastu, barva je bílá, určen k montáži do strpního podhledu, ventilátor obsahuje zpětnou klapku, výkon 100 m3/hod.</t>
  </si>
  <si>
    <t>3194406</t>
  </si>
  <si>
    <t>751344111</t>
  </si>
  <si>
    <t>Montáž tlumičů hluku pro kruhové potrubí, průměru do 100 mm</t>
  </si>
  <si>
    <t>1209187583</t>
  </si>
  <si>
    <t>751-spc003</t>
  </si>
  <si>
    <t>tlumič hluhu do kruhového potrubí DN 100 mm, zvuková a tepelná izolace</t>
  </si>
  <si>
    <t>-594351063</t>
  </si>
  <si>
    <t xml:space="preserve">Poznámka k položce:_x000D_
_x000D_
</t>
  </si>
  <si>
    <t>751398041</t>
  </si>
  <si>
    <t>Montáž ostatních zařízení protidešťové žaluzie nebo žaluziové klapky na kruhové potrubí, průměru do 300 mm</t>
  </si>
  <si>
    <t>-550756969</t>
  </si>
  <si>
    <t>751-spc004</t>
  </si>
  <si>
    <t>protidešťová žaluzie pro kruhové potrubí DN 100 mm, rám a žaluzie z plastu, barva bílá</t>
  </si>
  <si>
    <t>-539911922</t>
  </si>
  <si>
    <t>751537131</t>
  </si>
  <si>
    <t>Montáž kruhového potrubí ohebného izolovaného minerální vatou z Al folie, průměru do 100 mm</t>
  </si>
  <si>
    <t>1865898290</t>
  </si>
  <si>
    <t>751-spc005</t>
  </si>
  <si>
    <t>polotuhá ohebná hadice z Al fólie, falcování mimořádně pevným vícenásobným zámkem pro mechanická větrací a klimatická vedení vč. příslušenství</t>
  </si>
  <si>
    <t>-732336733</t>
  </si>
  <si>
    <t>751-spc006</t>
  </si>
  <si>
    <t>izolace pro ohebné rozvodné potrubí vč. příslušenství</t>
  </si>
  <si>
    <t>1212516952</t>
  </si>
  <si>
    <t>751572101</t>
  </si>
  <si>
    <t>Závěs kruhového potrubí pomocí objímky, kotvené do betonu průměru potrubí do 100 mm</t>
  </si>
  <si>
    <t>1308706775</t>
  </si>
  <si>
    <t>751581351</t>
  </si>
  <si>
    <t>Protipožární ochrana vzduchotechnického potrubí prostup kruhového potrubí stěnou, průměru potrubí do 100 mm</t>
  </si>
  <si>
    <t>-882982719</t>
  </si>
  <si>
    <t xml:space="preserve">Poznámka k souboru cen:_x000D_
1. V cenách -1111 až -1215 nejsou započteny náklady na zřízení závěsných konstrukcích. U dodatečného obkladu je nutno posoudit nosnost stávajících nosných konstrukcí._x000D_
2. Ceny prostupů -1311 až -1358 jsou uvažovány pro tloušťku stěny nebo stropu minimálně 100 mm a pro šířku spáry 25 mm._x000D_
</t>
  </si>
  <si>
    <t>998751201</t>
  </si>
  <si>
    <t>Přesun hmot pro vzduchotechniku stanovený procentní sazbou (%) z ceny vodorovná dopravní vzdálenost do 50 m v objektech výšky do 12 m</t>
  </si>
  <si>
    <t>837245185</t>
  </si>
  <si>
    <t>998751291</t>
  </si>
  <si>
    <t>Přesun hmot pro vzduchotechniku stanovený procentní sazbou (%) z ceny Příplatek k cenám za zvětšený přesun přes vymezenou největší dopravní vzdálenost do 500 m</t>
  </si>
  <si>
    <t>-741402693</t>
  </si>
  <si>
    <t>1648546496</t>
  </si>
  <si>
    <t>HZS3212</t>
  </si>
  <si>
    <t>Hodinové zúčtovací sazby montáží technologických zařízení na stavebních objektech montér vzduchotechniky odborný</t>
  </si>
  <si>
    <t>-2024795254</t>
  </si>
  <si>
    <t>Poznámka k položce:_x000D_
ZPROVZNĚNÍ ZAŘÍZENÍ VZT, ZAŠKOLENÍ OBSLUHY</t>
  </si>
  <si>
    <t>06 - Interiérové vybavení</t>
  </si>
  <si>
    <t>915027429</t>
  </si>
  <si>
    <t>Poznámka k položce:_x000D_
PODROBNÁ SPECIFIKACE VÝROBKU - VIZ ČÁST PD "D.2. - INTERIÉROVÉ ŘEŠENÍ, VÝKR.č. D.2.23</t>
  </si>
  <si>
    <t>656857372</t>
  </si>
  <si>
    <t>Poznámka k položce:_x000D_
PODROBNÁ SPECIFIKACE VÝROBKU - VIZ ČÁST PD "D.2. - INTERIÉROVÉ ŘEŠENÍ, VÝKR.č. D.2.31</t>
  </si>
  <si>
    <t>1702553220</t>
  </si>
  <si>
    <t>-2055651550</t>
  </si>
  <si>
    <t>07 - VRN</t>
  </si>
  <si>
    <t>VRN1</t>
  </si>
  <si>
    <t>Zařízení staveniště</t>
  </si>
  <si>
    <t>030001000</t>
  </si>
  <si>
    <t>-1642595195</t>
  </si>
  <si>
    <t>Poznámka k položce:_x000D_
Kompletní zařízení staveniště, jeho vybavení a provoz, včetně likvidace zařízení staveniště.</t>
  </si>
  <si>
    <t>598168295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</si>
  <si>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</si>
  <si>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</si>
  <si>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</si>
  <si>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</si>
  <si>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</si>
  <si>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</si>
  <si>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</si>
  <si>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</si>
  <si>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</si>
  <si>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</si>
  <si>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</si>
  <si>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</si>
  <si>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</si>
  <si>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</si>
  <si>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</si>
  <si>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</si>
  <si>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</si>
  <si>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</si>
  <si>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</si>
  <si>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</si>
  <si>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</si>
  <si>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</si>
  <si>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</si>
  <si>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</si>
  <si>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</si>
  <si>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</si>
  <si>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</si>
  <si>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</si>
  <si>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</si>
  <si>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</si>
  <si>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</si>
  <si>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</si>
  <si>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</si>
  <si>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</si>
  <si>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</si>
  <si>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</si>
  <si>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</si>
  <si>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</si>
  <si>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</si>
  <si>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</si>
  <si>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</si>
  <si>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</si>
  <si>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</si>
  <si>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</si>
  <si>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</si>
  <si>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</si>
  <si>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</si>
  <si>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</si>
  <si>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</si>
  <si>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</si>
  <si>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</si>
  <si>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</si>
  <si>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</si>
  <si>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</si>
  <si>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</si>
  <si>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</si>
  <si>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</si>
  <si>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</si>
  <si>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</si>
  <si>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</si>
  <si>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</si>
  <si>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</si>
  <si>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</si>
  <si>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</si>
  <si>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</si>
  <si>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</si>
  <si>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</si>
  <si>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</si>
  <si>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</si>
  <si>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</si>
  <si>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</si>
  <si>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</si>
  <si>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</si>
  <si>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</si>
  <si>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</si>
  <si>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</si>
  <si>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</si>
  <si>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</si>
  <si>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</si>
  <si>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</si>
  <si>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</si>
  <si>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</si>
  <si>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</si>
  <si>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</si>
  <si>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</si>
  <si>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</si>
  <si>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</si>
  <si>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</si>
  <si>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</si>
  <si>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</si>
  <si>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</si>
  <si>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</si>
  <si>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</si>
  <si>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</si>
  <si>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</si>
  <si>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</si>
  <si>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</si>
  <si>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</si>
  <si>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</si>
  <si>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</si>
  <si>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</si>
  <si>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</si>
  <si>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</si>
  <si>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</si>
  <si>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</si>
  <si>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</si>
  <si>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</si>
  <si>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</si>
  <si>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</si>
  <si>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</si>
  <si>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</si>
  <si>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</si>
  <si>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</si>
  <si>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</si>
  <si>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</si>
  <si>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</si>
  <si>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</si>
  <si>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</si>
  <si>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</si>
  <si>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</si>
  <si>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</si>
  <si>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</si>
  <si>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</si>
  <si>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</si>
  <si>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</si>
  <si>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</si>
  <si>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</si>
  <si>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</si>
  <si>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</si>
  <si>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</si>
  <si>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</si>
  <si>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</si>
  <si>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</si>
  <si>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</si>
  <si>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</si>
  <si>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</si>
  <si>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</si>
  <si>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</si>
  <si>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</si>
  <si>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</si>
  <si>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</si>
  <si>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</si>
  <si>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</si>
  <si>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</si>
  <si>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</si>
  <si>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</si>
  <si>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</si>
  <si>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</si>
  <si>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</si>
  <si>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</si>
  <si>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</si>
  <si>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</si>
  <si>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</si>
  <si>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</si>
  <si>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</si>
  <si>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</si>
  <si>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</si>
  <si>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</si>
  <si>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</si>
  <si>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</si>
  <si>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</si>
  <si>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</si>
  <si>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</si>
  <si>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</si>
  <si>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</si>
  <si>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</si>
  <si>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</si>
  <si>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</si>
  <si>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</si>
  <si>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</si>
  <si>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</si>
  <si>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</si>
  <si>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</si>
  <si>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</si>
  <si>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</si>
  <si>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</si>
  <si>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</si>
  <si>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</si>
  <si>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</si>
  <si>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</si>
  <si>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</si>
  <si>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</si>
  <si>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</si>
  <si>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</si>
  <si>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</si>
  <si>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</si>
  <si>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Rezerva investora (30.000,- Kč)</t>
  </si>
  <si>
    <t>Poznámka k položce:
Uchazeči vyplní částku ve výši 30.000,- Kč - REZERVA ČERPATELNÁ JEN SE SOUHLASEM INVESTORA !!!</t>
  </si>
  <si>
    <t>zátěžové PVC, min. zátěžová třída 42, tl. min 2,4mm , dekor : dub bělený</t>
  </si>
  <si>
    <t>Montáž podlah povlakových z PVC v rolích, celoplošně lepené</t>
  </si>
  <si>
    <t>Přesun hmot pro podlahy povlakové stanovený procentní sazbou (%) z ceny vodorovná dopravní vzdálenost do 50 m v objektech výšky do 6 m</t>
  </si>
  <si>
    <t>Přesun hmot pro podlahy povlakové stanovený procentní sazbou (%) z ceny Příplatek k cenám za zvětšený přesun přes vymezenou největší dopravní vzdálenost do 100 m</t>
  </si>
  <si>
    <t>LED svítidlo nástěnné zrcadlové, 9 W</t>
  </si>
  <si>
    <t xml:space="preserve">    VRN1 - Zařízení staveniště</t>
  </si>
  <si>
    <t xml:space="preserve">    VRN2 - Finanční náklady</t>
  </si>
  <si>
    <t>VRN2</t>
  </si>
  <si>
    <t>3+4</t>
  </si>
  <si>
    <t>Montáž výlevkových mís závěsných na nosné stěny</t>
  </si>
  <si>
    <t xml:space="preserve">Poznámka k souboru cen:_x000D_
1. V cenách -1351, -1361 není započten napájecí zdroj._x000D_
2. V cenách jsou započteny mřížky_x000D_
</t>
  </si>
  <si>
    <t>725119128</t>
  </si>
  <si>
    <t>VÝL</t>
  </si>
  <si>
    <t>3+2</t>
  </si>
  <si>
    <t>1.NP+2.NP</t>
  </si>
  <si>
    <t>viz výkr. Půdorys 1.NP a 2.NP - vodovod + 20 % rezerva</t>
  </si>
  <si>
    <t>viz výkr. Půdorys 1.NP a 2.NP - kanalizace + 20 % rezerva</t>
  </si>
  <si>
    <t>2+2</t>
  </si>
  <si>
    <t>"PŘ1 - 2 x I č.80" 9*(2*1,2)*5,94/1000</t>
  </si>
  <si>
    <t>"PŘ2 - 2 x I č.80" 3*(2*1,1)*5,94/1000</t>
  </si>
  <si>
    <t>podlahová plocha</t>
  </si>
  <si>
    <t>355,70*1,05 'Přepočtené koeficientem množství</t>
  </si>
  <si>
    <t>"SDK podhledy"</t>
  </si>
  <si>
    <t>0,041*5 'Přepočtené koeficientem množství</t>
  </si>
  <si>
    <t>0,041*24 'Přepočtené koeficientem množství</t>
  </si>
  <si>
    <t>D.1.1.3</t>
  </si>
  <si>
    <t>D.1.1.4</t>
  </si>
  <si>
    <t>KUCHYŇSKÁ LINKA v m.č. 103 : VÝROBA, DODÁVKA A MONTÁŽ, základní parametry - spodní a horní skříňky, š.1950 x hl. 590/310 mm x v. 2100 mm, materiál LTD lamino (barva bílá a bělený dub), kovová dveřní madla, dřez s odkapávačem 780,435 mm, hl. 150 mm (nerez), dřezová baterie chrom, výška 196 mm</t>
  </si>
  <si>
    <t>KUCHYŇSKÁ LINKA v m.č. 207 a 208 : VÝROBA, DODÁVKA A MONTÁŽ vč. vestavěných spotřebičů, základní parametry - linka na dvě části - spodní a horní skříňky, š. 1650 mm x hl. 590 mm x v. 2100 mm s hornimi skříňkami a 1550 mm x hl. 590 mm x v. 2900 mm bez hornách skříněk, materiál LTD lamino (barva bílá a bělený dub), kovová dveřní madla, dřez s odkapávačem 780x435 mm, hl. 150 mm (nerez), vestavěná myčka na nádobí - šíře 45 cm, vestavěný pultová lednice - š. 560 mm, v 810 mm, dřezová baterie chrom, výška 196 mm</t>
  </si>
  <si>
    <t>(2,5+0,15+2,0+3,0+0,15+0,5+1,0)*0,31</t>
  </si>
  <si>
    <t>2.883*1,15 'Přepočtené koeficientem množství</t>
  </si>
  <si>
    <t>751111011</t>
  </si>
  <si>
    <t>Montáž ventilátoru axiálního nízkotlakého nástěnného základního, průměru do 100 mm</t>
  </si>
  <si>
    <t>1506647352</t>
  </si>
  <si>
    <t>751-spc001</t>
  </si>
  <si>
    <t>-662503354</t>
  </si>
  <si>
    <t>malý axiální ventilátor pro kruhové potrubí DN 100 mm, skříňz nárazuvzdorného plastu, barva je bílá, určen k montáži na stěnu, ventilátor obsahuje zpětnou klapku, výkon 200 m3/hod.</t>
  </si>
  <si>
    <t>3+3</t>
  </si>
  <si>
    <t>1+6</t>
  </si>
  <si>
    <t>2,5+0,15+2,0+3,0+0,15+0,5+1,0</t>
  </si>
  <si>
    <t>9,30*1,1 'Přepočtené koeficientem množství</t>
  </si>
  <si>
    <t>9,30*0,31*1,25 'Přepočtené koeficientem množství</t>
  </si>
  <si>
    <t>4,0+1,5</t>
  </si>
  <si>
    <t>5,5*0,15</t>
  </si>
  <si>
    <t>0,235*5 'Přepočtené koeficientem množství</t>
  </si>
  <si>
    <t>0,235*24 'Přepočtené koeficientem množství</t>
  </si>
  <si>
    <t>2,5+1,5+2*0,5</t>
  </si>
  <si>
    <t>733223203</t>
  </si>
  <si>
    <t>Potrubí z trubek měděných tvrdých spojovaných tvrdým pájením Ø 18/1</t>
  </si>
  <si>
    <t>-868253155</t>
  </si>
  <si>
    <t>1,5+0,5</t>
  </si>
  <si>
    <t>0+3</t>
  </si>
  <si>
    <t>(3+3)*2*1,5</t>
  </si>
  <si>
    <t>"1.NP" 3*1,5</t>
  </si>
  <si>
    <t>"2.NP" 3*1,5</t>
  </si>
  <si>
    <t xml:space="preserve">Poznámka k položce:
FINANČNÍ REZERVA INVESTORA - NENÍ ZNÁM PŘESNÝ ROZSAH PRACÍ NEZBYTNÝ K NAPOJENÍ STÁVAJÍCÍ LEŽATÉ KANALIZACE (hloubka uložení, materiál stávající ležaté kanalizace, apod.) 
UCHAZEČI  POLOŽKU OCENÍ ČÁSTKOU 20.000,- bez DPH, částka bude čerpatelná jen se souhlasem investora !!! </t>
  </si>
  <si>
    <t>OST-202011</t>
  </si>
  <si>
    <t>Rekonstrukce objektu vrátnice a areálu Nemocnice Nymburk s.r.o. , objekt na č.parc. 323, k.ú. Nymburk</t>
  </si>
  <si>
    <t>sprchová baterienástěnná , chrom lesklý</t>
  </si>
  <si>
    <t>sprchový set, chrom lesklý</t>
  </si>
  <si>
    <t>umyvadlová baterie stojánková, chrom lesklý</t>
  </si>
  <si>
    <t>Umyvadlo rozm. 50x42x17 cm</t>
  </si>
  <si>
    <t>výlevka keramická, bílá, rozm. 53x42x34 cm včetně mřížky a příslušenství</t>
  </si>
  <si>
    <t>klozet keramický, bílý, rozm. 53x36x34 cm včetně sedátka a příslušenství</t>
  </si>
  <si>
    <t>Vodovod</t>
  </si>
  <si>
    <t>Kanalizace</t>
  </si>
  <si>
    <t>(1,75+1,0+1,0+1,5+1,0+2,0+1,0+2,5+4,5+3,5+0,75+0,60)*1,2</t>
  </si>
  <si>
    <t>25,320*0,10</t>
  </si>
  <si>
    <t>(0,25+0,25+1,0+1,2+0,75+0,75+1,0+1,0+1,5+0,5+1,0+0,5)*1,2</t>
  </si>
  <si>
    <t>viz výkr. Půdorys 1.NP a 2.NP - kanalizace + 20% rezerva</t>
  </si>
  <si>
    <t>3,0*1,2</t>
  </si>
  <si>
    <t>11,64*0,10</t>
  </si>
  <si>
    <t>3,6*0,15</t>
  </si>
  <si>
    <t>1,010*5 'Přepočtené koeficientem množství</t>
  </si>
  <si>
    <t>1,010*24 'Přepočtené koeficientem množství</t>
  </si>
  <si>
    <t>Potrubí z trub PVC SN4 svodné  DN 110</t>
  </si>
  <si>
    <t>viz výkr. Půdorysy kanalizace</t>
  </si>
  <si>
    <t>3,0+1,0</t>
  </si>
  <si>
    <t>0,5*4+1,0</t>
  </si>
  <si>
    <t>3,5*2</t>
  </si>
  <si>
    <t>5+4</t>
  </si>
  <si>
    <t>4,0+11,64+3,0+7,0</t>
  </si>
  <si>
    <t>722174003</t>
  </si>
  <si>
    <t>Potrubí z plastových trubek z polypropylenu PPR svařovaných polyfuzně PN 16 (SDR 7,4) D 25 x 3,5</t>
  </si>
  <si>
    <t>983804386</t>
  </si>
  <si>
    <t>722181252</t>
  </si>
  <si>
    <t>Ochrana potrubí termoizolačními trubicemi z pěnového polyetylenu PE přilepenými v příčných a podélných spojích, tloušťky izolace přes 20 do 25 mm, vnitřního průměru izolace DN přes 22 do 45 mm</t>
  </si>
  <si>
    <t>466380664</t>
  </si>
  <si>
    <t>1,5*1,2</t>
  </si>
  <si>
    <t>(1,5+4,0)*1,2</t>
  </si>
  <si>
    <t>25,32+1,8</t>
  </si>
  <si>
    <t>25,32+1,80+6,60</t>
  </si>
  <si>
    <t>13+9</t>
  </si>
  <si>
    <t>1+1</t>
  </si>
  <si>
    <t>7+2</t>
  </si>
  <si>
    <t>viz část PD</t>
  </si>
  <si>
    <t>viz výkresová část PD</t>
  </si>
  <si>
    <t>viz ýkresová část PD</t>
  </si>
  <si>
    <t>Sprchový kout rozm. 80x80x190 cm, materiál: chrom lesklý, sklo: čiré, otevírání: posuvné - DODÁVKA A MONTÁŽ, přesná specifikace výrobku viz část PD</t>
  </si>
  <si>
    <t>Sprchová vanička rozm. 80x80x5 cm, rádius: R550k, materiál: akrylát bílý - DODÁVKA A MONTÁŽ, přesná specifikace výrobku viz část PD</t>
  </si>
  <si>
    <t>Sprchové dveře rozm. 110x190 cm, materiál: AL (chrom lesk), sklo: čiré, otevírání: posuvné (ložiskové pojezdy), montáž: na dlažbu - DODÁVKA A MONTÁŽ, viz. část PD</t>
  </si>
  <si>
    <t>534*0,1</t>
  </si>
  <si>
    <t>4,84*5 'Přepočtené koeficientem množství</t>
  </si>
  <si>
    <t>4,84*24 'Přepočtené koeficientem množství</t>
  </si>
  <si>
    <t>24*1,1 'Přepočtené koeficientem množství</t>
  </si>
  <si>
    <t>972*1,2 'Přepočtené koeficientem množství</t>
  </si>
  <si>
    <t>705*1,2 'Přepočtené koeficientem množství</t>
  </si>
  <si>
    <t>24*1,2 'Přepočtené koeficientem množství</t>
  </si>
  <si>
    <t>12+7</t>
  </si>
  <si>
    <t>2+1</t>
  </si>
  <si>
    <t>741310005</t>
  </si>
  <si>
    <t>8500143564</t>
  </si>
  <si>
    <t>0+4</t>
  </si>
  <si>
    <t>spínač jednopólový schodišťový 10A bílý</t>
  </si>
  <si>
    <t>Montáž spínačů jedno nebo dvoupólových schodišťových nástěnných se zapojením vodičů, pro prostředí normální vypínačů, řazení 1-jednopólových</t>
  </si>
  <si>
    <t>spínač dvoupólový schodišťový 10A bílý</t>
  </si>
  <si>
    <t>Montáž spínačů jedno nebo dvoupólových schodišťových nástěnných se zapojením vodičů, pro prostředí normální vypínačů, řazení 2-dvoupólových</t>
  </si>
  <si>
    <t>0+5</t>
  </si>
  <si>
    <t>741310006</t>
  </si>
  <si>
    <t>8500143578</t>
  </si>
  <si>
    <t>53+34</t>
  </si>
  <si>
    <t>17+17</t>
  </si>
  <si>
    <t>6+0</t>
  </si>
  <si>
    <t>6+4</t>
  </si>
  <si>
    <t>OSVĚTLENÍ KUCHYŇSKÉ LINKY : LED pásek, 12W, v liště, DODÁVKA A MONTÁŽ VČ. PŘÍSLUŠENSTVÍ (délka 1,95 m) - m.č. 103</t>
  </si>
  <si>
    <t>OSVĚTLENÍ KUCHYŇSKÉ LINKY : LED pásek, 12W, v liště, DODÁVKA A MONTÁŽ VČ. PŘÍSLUŠENSTVÍ (délka 1,65 m) - m.č. 207</t>
  </si>
  <si>
    <t>88*1,2 'Přepočtené koeficientem množství</t>
  </si>
  <si>
    <t>39*1,2 'Přepočtené koeficientem množství</t>
  </si>
  <si>
    <t>8+4</t>
  </si>
  <si>
    <t>317142422</t>
  </si>
  <si>
    <t>Překlady nenosné z pórobetonu osazené do tenkého maltového lože, výšky do 250 mm, šířky překladu 100 mm, délky překladu přes 1000 do 1250 mm</t>
  </si>
  <si>
    <t>-1819236477</t>
  </si>
  <si>
    <t xml:space="preserve">Poznámka k souboru cen:_x000D_
1. V cenách jsou započteny náklady na dodání a uložení překladu, včetně podmazání ložné plochy tenkovrstvou maltou._x000D_
</t>
  </si>
  <si>
    <t>"PŘ1 - 2 x I č.100" 1*1,2*0,15*0,1</t>
  </si>
  <si>
    <t>viz výkr. Půdorys 1.a 2.NP - návrh, Řez objektem, Tabulka překladů a další - PŘ 4</t>
  </si>
  <si>
    <t>"PŘ2 - 2 x I č.80" 1*2,1*0,1*0,1</t>
  </si>
  <si>
    <t>"PŘ3 - 2 x I č.80" 2*1,0*0,1*0,1</t>
  </si>
  <si>
    <t>13010712</t>
  </si>
  <si>
    <t>ocel profilová IPN 100 jakost 11 375</t>
  </si>
  <si>
    <t>-2054121060</t>
  </si>
  <si>
    <t>"PŘ2 - 2 x I č.80" 1*(2*2,1)*5,94/1000</t>
  </si>
  <si>
    <t>"PŘ3 - 2 x I č.80" 2*(2*1,0)*5,94/1000</t>
  </si>
  <si>
    <t>0,049*1,1 'Přepočtené koeficientem množství</t>
  </si>
  <si>
    <t>"PŘ1 - 2 x I č.100" 1*(2*1,2)*8,34/1000</t>
  </si>
  <si>
    <t>0,020*1,1 'Přepočtené koeficientem množství</t>
  </si>
  <si>
    <t>1.NP - 0,75*0,75+0,2*2,1</t>
  </si>
  <si>
    <t>(1,88+1,84+1,78+2,57+1,0)*2,7-(0,8-0,9-0,9-0,8)*2,1</t>
  </si>
  <si>
    <t>(2,23+2,23)*2,72-(0,8)*2,1</t>
  </si>
  <si>
    <t>1.NP - 0,9*2,1+0,5*2,1+0,51*2,1</t>
  </si>
  <si>
    <t>9*2,7</t>
  </si>
  <si>
    <t>4*2,72</t>
  </si>
  <si>
    <t>1,88+1,84+1,78+2,57+1,0</t>
  </si>
  <si>
    <t>2,23+2,23</t>
  </si>
  <si>
    <t>2*(1*1,2+1*2,1+2*1,0)*0,2</t>
  </si>
  <si>
    <t>3,69+9,26+8,59+10,95+11,36+8,13+17,82+12,48</t>
  </si>
  <si>
    <t>6,41+16,68+15,09+20,12+23,44+1,20</t>
  </si>
  <si>
    <t>1,93+2,83+18,88+9,26+8,59+10,95+8,63+3,50+1,10+8,63+17,82+11,36+3,28+1,64+1,64</t>
  </si>
  <si>
    <t>10,36+15,71+2,34+1,87+2,00+13,27+17,77+4,30+12,04+18,03+3,65</t>
  </si>
  <si>
    <t>(1,44+0,62+2,11+1,0)*2,7+0,92*2,35</t>
  </si>
  <si>
    <t>(2,23+1,08+1,68+1,57+1,99+4,98+4,60)*2,72</t>
  </si>
  <si>
    <t>2,93+2,70+2,99+1,87+3,99</t>
  </si>
  <si>
    <t>7,35+0,46+3,50+3,46+1,10+3,13+1,62</t>
  </si>
  <si>
    <t>971033631</t>
  </si>
  <si>
    <t>Vybourání otvorů ve zdivu základovém nebo nadzákladovém z cihel, tvárnic, příčkovek z cihel pálených na maltu vápennou nebo vápenocementovou plochy do 4 m2, tl. do 150 mm</t>
  </si>
  <si>
    <t>-759560684</t>
  </si>
  <si>
    <t>0,9*2,1</t>
  </si>
  <si>
    <t>0,8*2,1</t>
  </si>
  <si>
    <t>0,48*2,1+0,51*2,1</t>
  </si>
  <si>
    <t>(0,62*2+1,0)*(1,5-0,8)</t>
  </si>
  <si>
    <t>(2,35+1,6)*2*2,1-0,68*2,01*2</t>
  </si>
  <si>
    <t>(0,88+1,25)*2*2,1-0,68*2,01</t>
  </si>
  <si>
    <t>(1,62+1,0)*2*2,1-0,68*1,5</t>
  </si>
  <si>
    <t>(1,88+1,84)*2*2,1-0,98*2,01-1,43*0,25</t>
  </si>
  <si>
    <t>(1,34+2,23)*2*1,8-0,68*1,8*3</t>
  </si>
  <si>
    <t>(1,79+2,23)*2*2,1-0,68*2,01</t>
  </si>
  <si>
    <t>(1,91+0,98)*2*1,2-0,68*1,2</t>
  </si>
  <si>
    <t>(2,24+0,35+0,96)*1,6</t>
  </si>
  <si>
    <t>17,415*5 'Přepočtené koeficientem množství</t>
  </si>
  <si>
    <t>17,415*24 'Přepočtené koeficientem množství</t>
  </si>
  <si>
    <t>4+3</t>
  </si>
  <si>
    <t>76311232R1</t>
  </si>
  <si>
    <t>-1627255389</t>
  </si>
  <si>
    <t xml:space="preserve">Poznámka k souboru cen:_x000D_
1. V cenách jsou započteny i náklady na tmelení a výztužnou pásku._x000D_
2. V cenách nejsou započteny náklady na základní penetrační nátěr; tyto se oceňují cenou 763 11-1717._x000D_
3. Cena -2611 Montáž nosné konstrukce je stanovena pro m2 plochy mezibytové příčky._x000D_
4. Ceny -2621 a -2624 Montáž desek jsou stanoveny pro obě strany mezibytové příčky._x000D_
5. V ceně -2611 nejsou započteny náklady na profily; tyto se oceňují ve specifikaci._x000D_
6. V cenách -2621 a -2624 nejsou započteny náklady na desky; tato dodávka se oceňuje ve specifikaci._x000D_
7. Ostatní konstrukce a práce a příplatky u mezibytových příček se oceňují cenami 763 11-17.. pro příčky ze sádrokartonových desek._x000D_
</t>
  </si>
  <si>
    <t>763111771</t>
  </si>
  <si>
    <t>Příčka ze sádrokartonových desek Příplatek k cenám za rovinnost speciální tmelení kvality Q3</t>
  </si>
  <si>
    <t>1463202307</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</si>
  <si>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</si>
  <si>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763111717</t>
  </si>
  <si>
    <t>Příčka ze sádrokartonových desek ostatní konstrukce a práce na příčkách ze sádrokartonových desek základní penetrační nátěr (oboustranný)</t>
  </si>
  <si>
    <t>577688187</t>
  </si>
  <si>
    <t>SDK příčka mezibytová tl 100 mm kovový nosný profil CW+UW tl. 75 mm, desky 2xDF 12,5 s TI tl. 60 mm, EI 90</t>
  </si>
  <si>
    <t>Poznámka k položce:
POŽADOVANÁ SKLADBA :
- 2x SDK tl. 12,5 mm
- kovový nosný profil tl. 75 mm
- TI (minerální desky) tl. 60 mm
- 2x SDK deska tl. 12,5 mm
PODROBNÝ POPIS SKLADBY v půdoryse a řezu</t>
  </si>
  <si>
    <t>příčky ve 2.NP</t>
  </si>
  <si>
    <t>(1,68+5,33+5,37+4,6+1,1+3,32)*2,72</t>
  </si>
  <si>
    <t>otvory</t>
  </si>
  <si>
    <t>(0,88*3+0,78)*2,01</t>
  </si>
  <si>
    <t>2*51,334</t>
  </si>
  <si>
    <t>2,83+3,28+1,64+1,64</t>
  </si>
  <si>
    <t>2,34+1,87+2,00</t>
  </si>
  <si>
    <t>obkladová MDF deska tl. 15 mm, s povrchovou úpravou v dekoru bělený dub</t>
  </si>
  <si>
    <t>1,98*0,7</t>
  </si>
  <si>
    <t>Montáž obložení stěn plochy do 5 m2 panely obkladovými z aglomerovaných desek, plochy do 0,60 m2</t>
  </si>
  <si>
    <t>766414241</t>
  </si>
  <si>
    <t>1790760276</t>
  </si>
  <si>
    <t>1,63*0,7</t>
  </si>
  <si>
    <t>(1,57+0,6+0,6)*0,4</t>
  </si>
  <si>
    <t>3,635*1,1 'Přepočtené koeficientem množství</t>
  </si>
  <si>
    <t>dveře z 112 do 103</t>
  </si>
  <si>
    <t>dveře z 201 do 202</t>
  </si>
  <si>
    <t>dveřní křídlo z MDF desky s povrchovou úpravou v dekoru dřeva, - bělený dub, prosklené s mléčným sklem - sklo dělené třemi příčlemi (do nové ocelové zárubně), rozm. 900x1970 mm, L, kování nerez - klika/klika, dělené štítky s obyčejným zámkem, bez požární odolnosti</t>
  </si>
  <si>
    <t>dveře z 103 do 104, v koupelně 108 a na WC 109</t>
  </si>
  <si>
    <t>dveře z 202 do 203 a z 203 do 204</t>
  </si>
  <si>
    <t>dveře z 207 do 208</t>
  </si>
  <si>
    <t>dveře ze 101 do 102, ze 112 do 113, ze 113 do 114</t>
  </si>
  <si>
    <t>dveře ze 113 do 115</t>
  </si>
  <si>
    <t>dveře z 203 do 205, z 210 do 211</t>
  </si>
  <si>
    <t>dveře ze 103 do 107</t>
  </si>
  <si>
    <t>dveře do kanceláří v přízemí</t>
  </si>
  <si>
    <t>dveře do kanceláří ve 2.NP</t>
  </si>
  <si>
    <t>dveře do ředitelny ve 2.NP</t>
  </si>
  <si>
    <t>dveře z 201 do prostoru půdy</t>
  </si>
  <si>
    <t>dveře z 112 do prostoru suterénu</t>
  </si>
  <si>
    <t>611-P</t>
  </si>
  <si>
    <t>611-L</t>
  </si>
  <si>
    <t>viz výkr. části PD</t>
  </si>
  <si>
    <t>1,93+2,83+3,5+1,10+11,36+3,28+1,64+1,64</t>
  </si>
  <si>
    <t>10,36+2,34+1,87+2,00+3,65</t>
  </si>
  <si>
    <t>5,82+23,5</t>
  </si>
  <si>
    <t>dlažba velkoformátová keramická slinutá hladká do interiéru i exteriéru pro vysoké mechanické namáhání přes 2 do 4ks/m2</t>
  </si>
  <si>
    <t>47,50*1,25 'Přepočtené koeficientem množství</t>
  </si>
  <si>
    <t>1,93+2,83+3,5+1,10+3,28+1,64+1,64</t>
  </si>
  <si>
    <t>2,34+1,87+2,0+3,65</t>
  </si>
  <si>
    <t>2,83+3,5+1,1+3,28+1,64+1,64</t>
  </si>
  <si>
    <t>2,34+1,87+2,00+3,65</t>
  </si>
  <si>
    <t>4+4+4+4+4</t>
  </si>
  <si>
    <t>771591242</t>
  </si>
  <si>
    <t>Izolace podlahy pod dlažbu těsnícími izolačními pásy vnější roh</t>
  </si>
  <si>
    <t>-1149921388</t>
  </si>
  <si>
    <t>4+4+4+4</t>
  </si>
  <si>
    <t>7,66+7,9+4,26+7,44+5,46+5,46</t>
  </si>
  <si>
    <t>6,56+5,78+6,244+8,84</t>
  </si>
  <si>
    <t>29,36+13,68+11,96+13,28+14,78+15,34+17,36</t>
  </si>
  <si>
    <t>15,71+13,27+17,77+4,30+12,04+18,03</t>
  </si>
  <si>
    <t>18,88+9,26+8,59+10,95+8,63+8,63+17,82</t>
  </si>
  <si>
    <t>163,88*1,2 'Přepočtené koeficientem množství</t>
  </si>
  <si>
    <t>22,64+15,481+17,36+9,76+15,36+19,219</t>
  </si>
  <si>
    <t>215,58*1,1 'Přepočtené koeficientem množství</t>
  </si>
  <si>
    <t>"1.NP" 3*1</t>
  </si>
  <si>
    <t>"2.NP" 3*1</t>
  </si>
  <si>
    <t>OBKLAD - TYP (60x60x2 cm)</t>
  </si>
  <si>
    <t>7,66*1,5-0,78*1,5</t>
  </si>
  <si>
    <t>7,9*2,1-0,68*2,01*2</t>
  </si>
  <si>
    <t>4,26*1,5-0,68*1,5</t>
  </si>
  <si>
    <t>5,46*1,5-0,78*1,5</t>
  </si>
  <si>
    <t>(1,88+1,84)*2*1,5-0,78*1,5*3-1,5*0,35</t>
  </si>
  <si>
    <t>6,56*1,5-0,68*2*1,5-0,78*1,5</t>
  </si>
  <si>
    <t>5,78*1,5-0,68*1,5</t>
  </si>
  <si>
    <t>6,244*1,5-0,78*1,5</t>
  </si>
  <si>
    <t>8,84*2,1-0,78*2,01</t>
  </si>
  <si>
    <t>6,65-0,68*2-0,78+5,78-0,68+6,244-0,78+8,84</t>
  </si>
  <si>
    <t>7,66-0,78+7,9+4,26-0,68+5,4-0,78*3+5,46-0,78+5,46-0,78</t>
  </si>
  <si>
    <t>2+2+2+2+2+1+2+2+2+1+1</t>
  </si>
  <si>
    <t>2+2+1+1+2+1+2+1+2</t>
  </si>
  <si>
    <t>1+1+1+1+1+1+1</t>
  </si>
  <si>
    <t>1+1+1+1</t>
  </si>
  <si>
    <t>1+1+1</t>
  </si>
  <si>
    <t>1+1+1+1+1</t>
  </si>
  <si>
    <t>"PŘ2 - 2 x I č.100" 1*(2*1,2)*0,37</t>
  </si>
  <si>
    <t>"PŘ3 - 2 x I č.80" 1*(2*2,1)*0,304</t>
  </si>
  <si>
    <t>"PŘ4 - 2 x I č.80" 2*(2*1,0)*0,304</t>
  </si>
  <si>
    <t>viz PD</t>
  </si>
  <si>
    <t>7+6</t>
  </si>
  <si>
    <t>110,04+101,35</t>
  </si>
  <si>
    <t>okna</t>
  </si>
  <si>
    <t>dveře exteriérové</t>
  </si>
  <si>
    <t>1,07*2,46*2+0,98*2,01</t>
  </si>
  <si>
    <t>0,75*0,75*6+1,2*0,5*2+1,2*1,2*2+1,5*1,5*10+1,65*1,5*2+2,25*1,5+1,2*2,1</t>
  </si>
  <si>
    <t>48,034*1,05 'Přepočtené koeficientem množství</t>
  </si>
  <si>
    <t xml:space="preserve">stěny </t>
  </si>
  <si>
    <t>stropy</t>
  </si>
  <si>
    <t>(20,548+22,64+6,56+5,78+6,244+15,481+17,36+9,76+15,36+19,219+8,84)*2,72</t>
  </si>
  <si>
    <t>(5,82+7,66+29,36+1,68+11,96+13,28+14,78+7,90+4,26+15,34+17,36+23,527+7,44+5,46+5,46)*2,7</t>
  </si>
  <si>
    <t>otvory okna</t>
  </si>
  <si>
    <t>otvory dveře</t>
  </si>
  <si>
    <t>(0,68*2,01*5+0,78*2,01*7+0,88*2,01*11+0,98*2,01*2)*2</t>
  </si>
  <si>
    <t>obklady</t>
  </si>
  <si>
    <t>okna a vnější dveře</t>
  </si>
  <si>
    <t>HZS2213</t>
  </si>
  <si>
    <t>Revize provozního zařízení</t>
  </si>
  <si>
    <t>Poznámka k položce:
Revize plynového kondenzačního kotle</t>
  </si>
  <si>
    <t>Ústřední vytápění - kotelny</t>
  </si>
  <si>
    <t>Demontáž plynového atmosvérického kotle</t>
  </si>
  <si>
    <t>731100801R00</t>
  </si>
  <si>
    <t>731249122R00</t>
  </si>
  <si>
    <t>montáž + dodávka spojovacího materiálu</t>
  </si>
  <si>
    <t>Montáž plynového kondenzačního kotle do výkonu 50 kW</t>
  </si>
  <si>
    <t>KOTEL</t>
  </si>
  <si>
    <t>Plynový kondenzační kotel Buderus logano plus GB 212 - 50 kW, jmenovitý teplený výkon 45 kW</t>
  </si>
  <si>
    <t>Přesun hmot pro kotelny stanovený procentní sazbou z ceny vodorovná dopravní vzdálenost do 50 m v objektech výšky do 6 m</t>
  </si>
  <si>
    <t xml:space="preserve">    731 - Ústřední vytápění - kotelny</t>
  </si>
  <si>
    <t>stávající nevyhovující kotel v suterénu, včetně likvidace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</si>
</sst>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7.5"/>
      <color rgb="FF505050"/>
      <name val="Arial CE"/>
    </font>
    <font>
      <sz val="7.75"/>
      <color rgb="FF505050"/>
      <name val="Arial CE"/>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6"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20" fillId="4"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6"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0" fillId="0" borderId="0" xfId="0" applyProtection="1"/>
    <xf numFmtId="0" fontId="28"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6" fillId="0" borderId="0" xfId="0" applyFont="1" applyAlignment="1">
      <alignment horizontal="lef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29"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0" fillId="0" borderId="4" xfId="0" applyBorder="1" applyAlignment="1">
      <alignment horizontal="center" vertical="center" wrapText="1"/>
    </xf>
    <xf numFmtId="4" fontId="22" fillId="0" borderId="0" xfId="0" applyNumberFormat="1" applyFont="1" applyAlignment="1"/>
    <xf numFmtId="166" fontId="30" fillId="0" borderId="13" xfId="0" applyNumberFormat="1" applyFont="1" applyBorder="1" applyAlignment="1"/>
    <xf numFmtId="166" fontId="30" fillId="0" borderId="14" xfId="0" applyNumberFormat="1" applyFont="1" applyBorder="1" applyAlignment="1"/>
    <xf numFmtId="4" fontId="31"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0" fillId="0" borderId="23" xfId="0"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3" xfId="0" applyFont="1" applyBorder="1" applyAlignment="1" applyProtection="1">
      <alignment horizontal="center" vertical="center" wrapText="1"/>
      <protection locked="0"/>
    </xf>
    <xf numFmtId="167" fontId="20" fillId="0" borderId="23" xfId="0" applyNumberFormat="1" applyFont="1" applyBorder="1" applyAlignment="1" applyProtection="1">
      <alignment vertical="center"/>
      <protection locked="0"/>
    </xf>
    <xf numFmtId="4" fontId="20" fillId="0" borderId="23" xfId="0" applyNumberFormat="1" applyFont="1" applyBorder="1" applyAlignment="1" applyProtection="1">
      <alignment vertical="center"/>
      <protection locked="0"/>
    </xf>
    <xf numFmtId="0" fontId="21" fillId="0" borderId="15" xfId="0" applyFont="1" applyBorder="1" applyAlignment="1">
      <alignment horizontal="left" vertical="center"/>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3"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4" fillId="0" borderId="15" xfId="0" applyFont="1" applyBorder="1" applyAlignment="1">
      <alignment horizontal="left" vertical="center"/>
    </xf>
    <xf numFmtId="0" fontId="34" fillId="0" borderId="0" xfId="0" applyFont="1" applyBorder="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44" fillId="0" borderId="0" xfId="0" applyFont="1" applyAlignment="1">
      <alignment vertical="center" wrapText="1"/>
    </xf>
    <xf numFmtId="0" fontId="44" fillId="0" borderId="0" xfId="0" applyFont="1" applyAlignment="1">
      <alignment vertical="center"/>
    </xf>
    <xf numFmtId="4" fontId="7" fillId="0" borderId="21" xfId="0" applyNumberFormat="1" applyFont="1" applyFill="1" applyBorder="1" applyAlignment="1">
      <alignment vertical="center"/>
    </xf>
    <xf numFmtId="0" fontId="0" fillId="0" borderId="0" xfId="0" applyFont="1" applyAlignment="1">
      <alignment vertical="center"/>
    </xf>
    <xf numFmtId="4" fontId="20" fillId="0" borderId="23" xfId="0" applyNumberFormat="1" applyFont="1" applyFill="1" applyBorder="1" applyAlignment="1" applyProtection="1">
      <alignment vertical="center"/>
      <protection locked="0"/>
    </xf>
    <xf numFmtId="0" fontId="0" fillId="0" borderId="0" xfId="0" applyFont="1" applyFill="1" applyAlignment="1">
      <alignment vertical="center"/>
    </xf>
    <xf numFmtId="0" fontId="10" fillId="0" borderId="0" xfId="0" applyFont="1" applyFill="1" applyAlignment="1">
      <alignment vertical="center"/>
    </xf>
    <xf numFmtId="4" fontId="34" fillId="0" borderId="23" xfId="0" applyNumberFormat="1" applyFont="1" applyFill="1" applyBorder="1" applyAlignment="1" applyProtection="1">
      <alignment vertical="center"/>
      <protection locked="0"/>
    </xf>
    <xf numFmtId="0" fontId="9" fillId="0" borderId="0" xfId="0" applyFont="1" applyFill="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8" fillId="0" borderId="0" xfId="0" applyFont="1" applyFill="1" applyAlignment="1"/>
    <xf numFmtId="0" fontId="20" fillId="0" borderId="23" xfId="0"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center" vertical="center" wrapText="1"/>
      <protection locked="0"/>
    </xf>
    <xf numFmtId="167" fontId="20" fillId="0" borderId="23" xfId="0" applyNumberFormat="1" applyFont="1" applyFill="1" applyBorder="1" applyAlignment="1" applyProtection="1">
      <alignment vertical="center"/>
      <protection locked="0"/>
    </xf>
    <xf numFmtId="0" fontId="34" fillId="0" borderId="23" xfId="0" applyFont="1" applyFill="1" applyBorder="1" applyAlignment="1" applyProtection="1">
      <alignment horizontal="center" vertical="center"/>
      <protection locked="0"/>
    </xf>
    <xf numFmtId="49" fontId="34" fillId="0" borderId="23" xfId="0" applyNumberFormat="1" applyFont="1" applyFill="1" applyBorder="1" applyAlignment="1" applyProtection="1">
      <alignment horizontal="left" vertical="center" wrapText="1"/>
      <protection locked="0"/>
    </xf>
    <xf numFmtId="0" fontId="34" fillId="0" borderId="23" xfId="0" applyFont="1" applyFill="1" applyBorder="1" applyAlignment="1" applyProtection="1">
      <alignment horizontal="left" vertical="center" wrapText="1"/>
      <protection locked="0"/>
    </xf>
    <xf numFmtId="0" fontId="34" fillId="0" borderId="23" xfId="0" applyFont="1" applyFill="1" applyBorder="1" applyAlignment="1" applyProtection="1">
      <alignment horizontal="center" vertical="center" wrapText="1"/>
      <protection locked="0"/>
    </xf>
    <xf numFmtId="167" fontId="34" fillId="0" borderId="23" xfId="0" applyNumberFormat="1" applyFont="1" applyFill="1" applyBorder="1" applyAlignment="1" applyProtection="1">
      <alignment vertical="center"/>
      <protection locked="0"/>
    </xf>
    <xf numFmtId="0" fontId="32" fillId="0" borderId="0" xfId="0" applyFont="1" applyFill="1" applyAlignment="1">
      <alignment horizontal="left" vertical="center"/>
    </xf>
    <xf numFmtId="0" fontId="33" fillId="0" borderId="0" xfId="0" applyFont="1" applyFill="1" applyAlignment="1">
      <alignment vertical="center" wrapText="1"/>
    </xf>
    <xf numFmtId="0" fontId="10" fillId="0" borderId="0" xfId="0" applyFont="1" applyFill="1" applyAlignment="1">
      <alignment horizontal="left" vertical="center" wrapText="1"/>
    </xf>
    <xf numFmtId="167" fontId="10" fillId="0" borderId="0" xfId="0" applyNumberFormat="1" applyFont="1" applyFill="1" applyAlignment="1">
      <alignment vertical="center"/>
    </xf>
    <xf numFmtId="167" fontId="10" fillId="0" borderId="0" xfId="0" applyNumberFormat="1" applyFont="1" applyAlignment="1">
      <alignment horizontal="left" vertical="center" wrapText="1"/>
    </xf>
    <xf numFmtId="0" fontId="0" fillId="0" borderId="4" xfId="0" applyBorder="1" applyAlignment="1" applyProtection="1">
      <alignment vertical="center"/>
      <protection locked="0"/>
    </xf>
    <xf numFmtId="0" fontId="21" fillId="0" borderId="1" xfId="0" applyFont="1" applyBorder="1" applyAlignment="1">
      <alignment horizontal="center" vertical="center"/>
    </xf>
    <xf numFmtId="166" fontId="21" fillId="0" borderId="1" xfId="0" applyNumberFormat="1" applyFont="1" applyBorder="1" applyAlignment="1">
      <alignment vertical="center"/>
    </xf>
    <xf numFmtId="0" fontId="0" fillId="0" borderId="0" xfId="0" applyAlignment="1">
      <alignment horizontal="left" vertical="center"/>
    </xf>
    <xf numFmtId="4" fontId="0" fillId="0" borderId="0" xfId="0" applyNumberFormat="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34" fillId="0" borderId="1" xfId="0" applyFont="1" applyBorder="1" applyAlignment="1">
      <alignment horizontal="center" vertical="center"/>
    </xf>
    <xf numFmtId="0" fontId="0" fillId="0" borderId="0" xfId="0" applyFont="1" applyAlignment="1">
      <alignment vertical="center"/>
    </xf>
    <xf numFmtId="14" fontId="2" fillId="0" borderId="0" xfId="0" applyNumberFormat="1" applyFont="1" applyAlignment="1">
      <alignment horizontal="left" vertical="center"/>
    </xf>
    <xf numFmtId="0" fontId="0" fillId="0" borderId="0" xfId="0" applyFont="1" applyAlignment="1">
      <alignment vertical="center"/>
    </xf>
    <xf numFmtId="0" fontId="47" fillId="0" borderId="0" xfId="0" applyFont="1" applyAlignment="1">
      <alignment horizontal="left" vertical="center" wrapText="1"/>
    </xf>
    <xf numFmtId="0" fontId="48" fillId="0" borderId="0" xfId="0" applyFont="1" applyAlignment="1">
      <alignment horizontal="left" vertical="center" wrapText="1"/>
    </xf>
    <xf numFmtId="0" fontId="0" fillId="0" borderId="15"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1" fontId="10" fillId="0" borderId="0" xfId="0" applyNumberFormat="1" applyFont="1" applyAlignment="1">
      <alignment horizontal="left" vertical="center" wrapText="1"/>
    </xf>
    <xf numFmtId="3" fontId="10" fillId="0" borderId="0" xfId="0" applyNumberFormat="1" applyFont="1" applyAlignment="1">
      <alignment vertical="center"/>
    </xf>
    <xf numFmtId="3" fontId="20" fillId="0" borderId="23" xfId="0" applyNumberFormat="1" applyFont="1" applyBorder="1" applyAlignment="1" applyProtection="1">
      <alignment vertical="center"/>
      <protection locked="0"/>
    </xf>
    <xf numFmtId="0" fontId="11" fillId="0" borderId="1" xfId="0" applyFont="1" applyBorder="1" applyAlignment="1">
      <alignment vertical="center"/>
    </xf>
    <xf numFmtId="0" fontId="8" fillId="0" borderId="0" xfId="0" applyFont="1" applyFill="1" applyAlignment="1">
      <alignment horizontal="left"/>
    </xf>
    <xf numFmtId="0" fontId="6" fillId="0" borderId="0" xfId="0" applyFont="1" applyFill="1" applyAlignment="1">
      <alignment horizontal="left"/>
    </xf>
    <xf numFmtId="4" fontId="6" fillId="0" borderId="0" xfId="0" applyNumberFormat="1" applyFont="1" applyFill="1" applyAlignment="1"/>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20" fillId="4" borderId="7" xfId="0" applyFont="1" applyFill="1" applyBorder="1" applyAlignment="1">
      <alignment horizontal="center" vertical="center"/>
    </xf>
    <xf numFmtId="0" fontId="20" fillId="4" borderId="8" xfId="0" applyFont="1" applyFill="1" applyBorder="1" applyAlignment="1">
      <alignment horizontal="left" vertical="center"/>
    </xf>
    <xf numFmtId="0" fontId="20" fillId="4" borderId="8" xfId="0" applyFont="1" applyFill="1" applyBorder="1" applyAlignment="1">
      <alignment horizontal="center" vertical="center"/>
    </xf>
    <xf numFmtId="0" fontId="20" fillId="4" borderId="8" xfId="0" applyFont="1" applyFill="1" applyBorder="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14" fillId="2" borderId="0" xfId="0" applyFont="1" applyFill="1" applyAlignment="1">
      <alignment horizontal="center" vertical="center"/>
    </xf>
    <xf numFmtId="4" fontId="4" fillId="3" borderId="8" xfId="0" applyNumberFormat="1" applyFont="1" applyFill="1" applyBorder="1" applyAlignment="1">
      <alignment vertical="center"/>
    </xf>
    <xf numFmtId="0" fontId="0" fillId="3" borderId="8" xfId="0" applyFont="1" applyFill="1" applyBorder="1" applyAlignment="1">
      <alignment vertical="center"/>
    </xf>
    <xf numFmtId="0" fontId="0" fillId="3" borderId="9" xfId="0" applyFont="1" applyFill="1" applyBorder="1" applyAlignment="1">
      <alignment vertical="center"/>
    </xf>
    <xf numFmtId="0" fontId="4" fillId="3" borderId="8" xfId="0" applyFont="1" applyFill="1" applyBorder="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29" xfId="0" applyFont="1" applyBorder="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top"/>
    </xf>
    <xf numFmtId="0" fontId="39" fillId="0" borderId="1" xfId="0" applyFont="1" applyBorder="1" applyAlignment="1">
      <alignment horizontal="left" vertical="center" wrapText="1"/>
    </xf>
    <xf numFmtId="0" fontId="38" fillId="0" borderId="29" xfId="0" applyFont="1" applyBorder="1" applyAlignment="1">
      <alignment horizontal="left" wrapText="1"/>
    </xf>
    <xf numFmtId="49" fontId="39"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63"/>
  <sheetViews>
    <sheetView showGridLines="0" tabSelected="1" view="pageBreakPreview" zoomScale="80" zoomScaleSheetLayoutView="80" workbookViewId="0">
      <selection activeCell="Q99" sqref="Q99"/>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52" t="s">
        <v>6</v>
      </c>
      <c r="AS2" s="346"/>
      <c r="AT2" s="346"/>
      <c r="AU2" s="346"/>
      <c r="AV2" s="346"/>
      <c r="AW2" s="346"/>
      <c r="AX2" s="346"/>
      <c r="AY2" s="346"/>
      <c r="AZ2" s="346"/>
      <c r="BA2" s="346"/>
      <c r="BB2" s="346"/>
      <c r="BC2" s="346"/>
      <c r="BD2" s="346"/>
      <c r="BE2" s="346"/>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S4" s="19" t="s">
        <v>12</v>
      </c>
    </row>
    <row r="5" spans="1:74" s="1" customFormat="1" ht="12" customHeight="1">
      <c r="B5" s="22"/>
      <c r="D5" s="25" t="s">
        <v>13</v>
      </c>
      <c r="K5" s="345" t="s">
        <v>1331</v>
      </c>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R5" s="22"/>
      <c r="BS5" s="19" t="s">
        <v>7</v>
      </c>
    </row>
    <row r="6" spans="1:74" s="1" customFormat="1" ht="36.950000000000003" customHeight="1">
      <c r="B6" s="22"/>
      <c r="D6" s="27" t="s">
        <v>14</v>
      </c>
      <c r="K6" s="347" t="s">
        <v>1332</v>
      </c>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R6" s="22"/>
      <c r="BS6" s="19" t="s">
        <v>7</v>
      </c>
    </row>
    <row r="7" spans="1:74" s="1" customFormat="1" ht="12" customHeight="1">
      <c r="B7" s="22"/>
      <c r="D7" s="28" t="s">
        <v>15</v>
      </c>
      <c r="K7" s="26" t="s">
        <v>16</v>
      </c>
      <c r="AK7" s="28" t="s">
        <v>17</v>
      </c>
      <c r="AN7" s="26" t="s">
        <v>18</v>
      </c>
      <c r="AR7" s="22"/>
      <c r="BS7" s="19" t="s">
        <v>7</v>
      </c>
    </row>
    <row r="8" spans="1:74" s="1" customFormat="1" ht="12" customHeight="1">
      <c r="B8" s="22"/>
      <c r="D8" s="28" t="s">
        <v>19</v>
      </c>
      <c r="K8" s="26" t="s">
        <v>20</v>
      </c>
      <c r="AK8" s="28" t="s">
        <v>21</v>
      </c>
      <c r="AN8" s="310">
        <v>44144</v>
      </c>
      <c r="AR8" s="22"/>
      <c r="BS8" s="19" t="s">
        <v>7</v>
      </c>
    </row>
    <row r="9" spans="1:74" s="1" customFormat="1" ht="14.45" customHeight="1">
      <c r="B9" s="22"/>
      <c r="AR9" s="22"/>
      <c r="BS9" s="19" t="s">
        <v>7</v>
      </c>
    </row>
    <row r="10" spans="1:74" s="1" customFormat="1" ht="12" customHeight="1">
      <c r="B10" s="22"/>
      <c r="D10" s="28" t="s">
        <v>22</v>
      </c>
      <c r="AK10" s="28" t="s">
        <v>23</v>
      </c>
      <c r="AN10" s="26" t="s">
        <v>24</v>
      </c>
      <c r="AR10" s="22"/>
      <c r="BS10" s="19" t="s">
        <v>7</v>
      </c>
    </row>
    <row r="11" spans="1:74" s="1" customFormat="1" ht="18.399999999999999" customHeight="1">
      <c r="B11" s="22"/>
      <c r="E11" s="26" t="s">
        <v>25</v>
      </c>
      <c r="AK11" s="28" t="s">
        <v>26</v>
      </c>
      <c r="AN11" s="26" t="s">
        <v>27</v>
      </c>
      <c r="AR11" s="22"/>
      <c r="BS11" s="19" t="s">
        <v>7</v>
      </c>
    </row>
    <row r="12" spans="1:74" s="1" customFormat="1" ht="6.95" customHeight="1">
      <c r="B12" s="22"/>
      <c r="AR12" s="22"/>
      <c r="BS12" s="19" t="s">
        <v>7</v>
      </c>
    </row>
    <row r="13" spans="1:74" s="1" customFormat="1" ht="12" customHeight="1">
      <c r="B13" s="22"/>
      <c r="D13" s="28" t="s">
        <v>28</v>
      </c>
      <c r="AK13" s="28" t="s">
        <v>23</v>
      </c>
      <c r="AN13" s="26" t="s">
        <v>3</v>
      </c>
      <c r="AR13" s="22"/>
      <c r="BS13" s="19" t="s">
        <v>7</v>
      </c>
    </row>
    <row r="14" spans="1:74" ht="12.75">
      <c r="B14" s="22"/>
      <c r="E14" s="26" t="s">
        <v>29</v>
      </c>
      <c r="AK14" s="28" t="s">
        <v>26</v>
      </c>
      <c r="AN14" s="26" t="s">
        <v>3</v>
      </c>
      <c r="AR14" s="22"/>
      <c r="BS14" s="19" t="s">
        <v>7</v>
      </c>
    </row>
    <row r="15" spans="1:74" s="1" customFormat="1" ht="6.95" customHeight="1">
      <c r="B15" s="22"/>
      <c r="AR15" s="22"/>
      <c r="BS15" s="19" t="s">
        <v>4</v>
      </c>
    </row>
    <row r="16" spans="1:74" s="1" customFormat="1" ht="12" customHeight="1">
      <c r="B16" s="22"/>
      <c r="D16" s="28" t="s">
        <v>30</v>
      </c>
      <c r="AK16" s="28" t="s">
        <v>23</v>
      </c>
      <c r="AN16" s="26" t="s">
        <v>31</v>
      </c>
      <c r="AR16" s="22"/>
      <c r="BS16" s="19" t="s">
        <v>4</v>
      </c>
    </row>
    <row r="17" spans="1:71" s="1" customFormat="1" ht="18.399999999999999" customHeight="1">
      <c r="B17" s="22"/>
      <c r="E17" s="26" t="s">
        <v>32</v>
      </c>
      <c r="AK17" s="28" t="s">
        <v>26</v>
      </c>
      <c r="AN17" s="26" t="s">
        <v>33</v>
      </c>
      <c r="AR17" s="22"/>
      <c r="BS17" s="19" t="s">
        <v>34</v>
      </c>
    </row>
    <row r="18" spans="1:71" s="1" customFormat="1" ht="6.95" customHeight="1">
      <c r="B18" s="22"/>
      <c r="AR18" s="22"/>
      <c r="BS18" s="19" t="s">
        <v>7</v>
      </c>
    </row>
    <row r="19" spans="1:71" s="1" customFormat="1" ht="12" customHeight="1">
      <c r="B19" s="22"/>
      <c r="D19" s="28" t="s">
        <v>35</v>
      </c>
      <c r="AK19" s="28" t="s">
        <v>23</v>
      </c>
      <c r="AN19" s="26" t="s">
        <v>3</v>
      </c>
      <c r="AR19" s="22"/>
      <c r="BS19" s="19" t="s">
        <v>7</v>
      </c>
    </row>
    <row r="20" spans="1:71" s="1" customFormat="1" ht="18.399999999999999" customHeight="1">
      <c r="B20" s="22"/>
      <c r="E20" s="26" t="s">
        <v>29</v>
      </c>
      <c r="AK20" s="28" t="s">
        <v>26</v>
      </c>
      <c r="AN20" s="26" t="s">
        <v>3</v>
      </c>
      <c r="AR20" s="22"/>
      <c r="BS20" s="19" t="s">
        <v>4</v>
      </c>
    </row>
    <row r="21" spans="1:71" s="1" customFormat="1" ht="6.95" customHeight="1">
      <c r="B21" s="22"/>
      <c r="AR21" s="22"/>
    </row>
    <row r="22" spans="1:71" s="1" customFormat="1" ht="12" customHeight="1">
      <c r="B22" s="22"/>
      <c r="D22" s="28" t="s">
        <v>36</v>
      </c>
      <c r="AR22" s="22"/>
    </row>
    <row r="23" spans="1:71" s="1" customFormat="1" ht="51.75" customHeight="1">
      <c r="B23" s="22"/>
      <c r="E23" s="348" t="s">
        <v>37</v>
      </c>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R23" s="22"/>
    </row>
    <row r="24" spans="1:71" s="1" customFormat="1" ht="6.95" customHeight="1">
      <c r="B24" s="22"/>
      <c r="AR24" s="22"/>
    </row>
    <row r="25" spans="1:71" s="1" customFormat="1" ht="6.95" customHeight="1">
      <c r="B25" s="22"/>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22"/>
    </row>
    <row r="26" spans="1:71" s="2" customFormat="1" ht="25.9" customHeight="1">
      <c r="A26" s="31"/>
      <c r="B26" s="32"/>
      <c r="C26" s="31"/>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9">
        <f>ROUND(AG54,2)</f>
        <v>0</v>
      </c>
      <c r="AL26" s="350"/>
      <c r="AM26" s="350"/>
      <c r="AN26" s="350"/>
      <c r="AO26" s="350"/>
      <c r="AP26" s="31"/>
      <c r="AQ26" s="31"/>
      <c r="AR26" s="32"/>
      <c r="BE26" s="31"/>
    </row>
    <row r="27" spans="1:71" s="2" customFormat="1" ht="6.95" customHeight="1">
      <c r="A27" s="31"/>
      <c r="B27" s="3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2"/>
      <c r="BE27" s="31"/>
    </row>
    <row r="28" spans="1:71" s="2" customFormat="1" ht="12.75">
      <c r="A28" s="31"/>
      <c r="B28" s="32"/>
      <c r="C28" s="31"/>
      <c r="D28" s="31"/>
      <c r="E28" s="31"/>
      <c r="F28" s="31"/>
      <c r="G28" s="31"/>
      <c r="H28" s="31"/>
      <c r="I28" s="31"/>
      <c r="J28" s="31"/>
      <c r="K28" s="31"/>
      <c r="L28" s="351" t="s">
        <v>39</v>
      </c>
      <c r="M28" s="351"/>
      <c r="N28" s="351"/>
      <c r="O28" s="351"/>
      <c r="P28" s="351"/>
      <c r="Q28" s="31"/>
      <c r="R28" s="31"/>
      <c r="S28" s="31"/>
      <c r="T28" s="31"/>
      <c r="U28" s="31"/>
      <c r="V28" s="31"/>
      <c r="W28" s="351" t="s">
        <v>40</v>
      </c>
      <c r="X28" s="351"/>
      <c r="Y28" s="351"/>
      <c r="Z28" s="351"/>
      <c r="AA28" s="351"/>
      <c r="AB28" s="351"/>
      <c r="AC28" s="351"/>
      <c r="AD28" s="351"/>
      <c r="AE28" s="351"/>
      <c r="AF28" s="31"/>
      <c r="AG28" s="31"/>
      <c r="AH28" s="31"/>
      <c r="AI28" s="31"/>
      <c r="AJ28" s="31"/>
      <c r="AK28" s="351" t="s">
        <v>41</v>
      </c>
      <c r="AL28" s="351"/>
      <c r="AM28" s="351"/>
      <c r="AN28" s="351"/>
      <c r="AO28" s="351"/>
      <c r="AP28" s="31"/>
      <c r="AQ28" s="31"/>
      <c r="AR28" s="32"/>
      <c r="BE28" s="31"/>
    </row>
    <row r="29" spans="1:71" s="3" customFormat="1" ht="14.45" customHeight="1">
      <c r="B29" s="36"/>
      <c r="D29" s="28" t="s">
        <v>42</v>
      </c>
      <c r="F29" s="28" t="s">
        <v>43</v>
      </c>
      <c r="L29" s="342">
        <v>0.21</v>
      </c>
      <c r="M29" s="343"/>
      <c r="N29" s="343"/>
      <c r="O29" s="343"/>
      <c r="P29" s="343"/>
      <c r="W29" s="344">
        <f>ROUND(AZ54, 2)</f>
        <v>0</v>
      </c>
      <c r="X29" s="343"/>
      <c r="Y29" s="343"/>
      <c r="Z29" s="343"/>
      <c r="AA29" s="343"/>
      <c r="AB29" s="343"/>
      <c r="AC29" s="343"/>
      <c r="AD29" s="343"/>
      <c r="AE29" s="343"/>
      <c r="AK29" s="344">
        <f>ROUND(AV54, 2)</f>
        <v>0</v>
      </c>
      <c r="AL29" s="343"/>
      <c r="AM29" s="343"/>
      <c r="AN29" s="343"/>
      <c r="AO29" s="343"/>
      <c r="AR29" s="36"/>
    </row>
    <row r="30" spans="1:71" s="3" customFormat="1" ht="14.45" customHeight="1">
      <c r="B30" s="36"/>
      <c r="F30" s="28" t="s">
        <v>44</v>
      </c>
      <c r="L30" s="342">
        <v>0.15</v>
      </c>
      <c r="M30" s="343"/>
      <c r="N30" s="343"/>
      <c r="O30" s="343"/>
      <c r="P30" s="343"/>
      <c r="W30" s="344">
        <f>ROUND(BA54, 2)</f>
        <v>0</v>
      </c>
      <c r="X30" s="343"/>
      <c r="Y30" s="343"/>
      <c r="Z30" s="343"/>
      <c r="AA30" s="343"/>
      <c r="AB30" s="343"/>
      <c r="AC30" s="343"/>
      <c r="AD30" s="343"/>
      <c r="AE30" s="343"/>
      <c r="AK30" s="344">
        <f>ROUND(AW54, 2)</f>
        <v>0</v>
      </c>
      <c r="AL30" s="343"/>
      <c r="AM30" s="343"/>
      <c r="AN30" s="343"/>
      <c r="AO30" s="343"/>
      <c r="AR30" s="36"/>
    </row>
    <row r="31" spans="1:71" s="3" customFormat="1" ht="14.45" hidden="1" customHeight="1">
      <c r="B31" s="36"/>
      <c r="F31" s="28" t="s">
        <v>45</v>
      </c>
      <c r="L31" s="342">
        <v>0.21</v>
      </c>
      <c r="M31" s="343"/>
      <c r="N31" s="343"/>
      <c r="O31" s="343"/>
      <c r="P31" s="343"/>
      <c r="W31" s="344">
        <f>ROUND(BB54, 2)</f>
        <v>0</v>
      </c>
      <c r="X31" s="343"/>
      <c r="Y31" s="343"/>
      <c r="Z31" s="343"/>
      <c r="AA31" s="343"/>
      <c r="AB31" s="343"/>
      <c r="AC31" s="343"/>
      <c r="AD31" s="343"/>
      <c r="AE31" s="343"/>
      <c r="AK31" s="344">
        <v>0</v>
      </c>
      <c r="AL31" s="343"/>
      <c r="AM31" s="343"/>
      <c r="AN31" s="343"/>
      <c r="AO31" s="343"/>
      <c r="AR31" s="36"/>
    </row>
    <row r="32" spans="1:71" s="3" customFormat="1" ht="14.45" hidden="1" customHeight="1">
      <c r="B32" s="36"/>
      <c r="F32" s="28" t="s">
        <v>46</v>
      </c>
      <c r="L32" s="342">
        <v>0.15</v>
      </c>
      <c r="M32" s="343"/>
      <c r="N32" s="343"/>
      <c r="O32" s="343"/>
      <c r="P32" s="343"/>
      <c r="W32" s="344">
        <f>ROUND(BC54, 2)</f>
        <v>0</v>
      </c>
      <c r="X32" s="343"/>
      <c r="Y32" s="343"/>
      <c r="Z32" s="343"/>
      <c r="AA32" s="343"/>
      <c r="AB32" s="343"/>
      <c r="AC32" s="343"/>
      <c r="AD32" s="343"/>
      <c r="AE32" s="343"/>
      <c r="AK32" s="344">
        <v>0</v>
      </c>
      <c r="AL32" s="343"/>
      <c r="AM32" s="343"/>
      <c r="AN32" s="343"/>
      <c r="AO32" s="343"/>
      <c r="AR32" s="36"/>
    </row>
    <row r="33" spans="1:57" s="3" customFormat="1" ht="14.45" hidden="1" customHeight="1">
      <c r="B33" s="36"/>
      <c r="F33" s="28" t="s">
        <v>47</v>
      </c>
      <c r="L33" s="342">
        <v>0</v>
      </c>
      <c r="M33" s="343"/>
      <c r="N33" s="343"/>
      <c r="O33" s="343"/>
      <c r="P33" s="343"/>
      <c r="W33" s="344">
        <f>ROUND(BD54, 2)</f>
        <v>0</v>
      </c>
      <c r="X33" s="343"/>
      <c r="Y33" s="343"/>
      <c r="Z33" s="343"/>
      <c r="AA33" s="343"/>
      <c r="AB33" s="343"/>
      <c r="AC33" s="343"/>
      <c r="AD33" s="343"/>
      <c r="AE33" s="343"/>
      <c r="AK33" s="344">
        <v>0</v>
      </c>
      <c r="AL33" s="343"/>
      <c r="AM33" s="343"/>
      <c r="AN33" s="343"/>
      <c r="AO33" s="343"/>
      <c r="AR33" s="36"/>
    </row>
    <row r="34" spans="1:57" s="2" customFormat="1" ht="6.95" customHeight="1">
      <c r="A34" s="31"/>
      <c r="B34" s="32"/>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2"/>
      <c r="BE34" s="31"/>
    </row>
    <row r="35" spans="1:57" s="2" customFormat="1" ht="25.9" customHeight="1">
      <c r="A35" s="31"/>
      <c r="B35" s="32"/>
      <c r="C35" s="37"/>
      <c r="D35" s="38" t="s">
        <v>48</v>
      </c>
      <c r="E35" s="39"/>
      <c r="F35" s="39"/>
      <c r="G35" s="39"/>
      <c r="H35" s="39"/>
      <c r="I35" s="39"/>
      <c r="J35" s="39"/>
      <c r="K35" s="39"/>
      <c r="L35" s="39"/>
      <c r="M35" s="39"/>
      <c r="N35" s="39"/>
      <c r="O35" s="39"/>
      <c r="P35" s="39"/>
      <c r="Q35" s="39"/>
      <c r="R35" s="39"/>
      <c r="S35" s="39"/>
      <c r="T35" s="40" t="s">
        <v>49</v>
      </c>
      <c r="U35" s="39"/>
      <c r="V35" s="39"/>
      <c r="W35" s="39"/>
      <c r="X35" s="356" t="s">
        <v>50</v>
      </c>
      <c r="Y35" s="354"/>
      <c r="Z35" s="354"/>
      <c r="AA35" s="354"/>
      <c r="AB35" s="354"/>
      <c r="AC35" s="39"/>
      <c r="AD35" s="39"/>
      <c r="AE35" s="39"/>
      <c r="AF35" s="39"/>
      <c r="AG35" s="39"/>
      <c r="AH35" s="39"/>
      <c r="AI35" s="39"/>
      <c r="AJ35" s="39"/>
      <c r="AK35" s="353">
        <f>SUM(AK26:AK33)</f>
        <v>0</v>
      </c>
      <c r="AL35" s="354"/>
      <c r="AM35" s="354"/>
      <c r="AN35" s="354"/>
      <c r="AO35" s="355"/>
      <c r="AP35" s="37"/>
      <c r="AQ35" s="37"/>
      <c r="AR35" s="32"/>
      <c r="BE35" s="31"/>
    </row>
    <row r="36" spans="1:57" s="2" customFormat="1" ht="6.95" customHeight="1">
      <c r="A36" s="31"/>
      <c r="B36" s="32"/>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2"/>
      <c r="BE36" s="31"/>
    </row>
    <row r="37" spans="1:57" s="2" customFormat="1" ht="6.95" customHeight="1">
      <c r="A37" s="3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c r="BE37" s="31"/>
    </row>
    <row r="41" spans="1:57" s="2" customFormat="1" ht="6.95" customHeight="1">
      <c r="A41" s="3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c r="BE41" s="31"/>
    </row>
    <row r="42" spans="1:57" s="2" customFormat="1" ht="24.95" customHeight="1">
      <c r="A42" s="31"/>
      <c r="B42" s="32"/>
      <c r="C42" s="23" t="s">
        <v>51</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2"/>
      <c r="BE42" s="31"/>
    </row>
    <row r="43" spans="1:57" s="2" customFormat="1" ht="6.95" customHeight="1">
      <c r="A43" s="31"/>
      <c r="B43" s="32"/>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2"/>
      <c r="BE43" s="31"/>
    </row>
    <row r="44" spans="1:57" s="4" customFormat="1" ht="12" customHeight="1">
      <c r="B44" s="45"/>
      <c r="C44" s="28" t="s">
        <v>13</v>
      </c>
      <c r="L44" s="4" t="str">
        <f>K5</f>
        <v>OST-202011</v>
      </c>
      <c r="AR44" s="45"/>
    </row>
    <row r="45" spans="1:57" s="5" customFormat="1" ht="36.950000000000003" customHeight="1">
      <c r="B45" s="46"/>
      <c r="C45" s="47" t="s">
        <v>14</v>
      </c>
      <c r="L45" s="324" t="str">
        <f>K6</f>
        <v>Rekonstrukce objektu vrátnice a areálu Nemocnice Nymburk s.r.o. , objekt na č.parc. 323, k.ú. Nymburk</v>
      </c>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R45" s="46"/>
    </row>
    <row r="46" spans="1:57" s="2" customFormat="1" ht="6.95" customHeight="1">
      <c r="A46" s="31"/>
      <c r="B46" s="32"/>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2"/>
      <c r="BE46" s="31"/>
    </row>
    <row r="47" spans="1:57" s="2" customFormat="1" ht="12" customHeight="1">
      <c r="A47" s="31"/>
      <c r="B47" s="32"/>
      <c r="C47" s="28" t="s">
        <v>19</v>
      </c>
      <c r="D47" s="31"/>
      <c r="E47" s="31"/>
      <c r="F47" s="31"/>
      <c r="G47" s="31"/>
      <c r="H47" s="31"/>
      <c r="I47" s="31"/>
      <c r="J47" s="31"/>
      <c r="K47" s="31"/>
      <c r="L47" s="48" t="str">
        <f>IF(K8="","",K8)</f>
        <v>Nymburk</v>
      </c>
      <c r="M47" s="31"/>
      <c r="N47" s="31"/>
      <c r="O47" s="31"/>
      <c r="P47" s="31"/>
      <c r="Q47" s="31"/>
      <c r="R47" s="31"/>
      <c r="S47" s="31"/>
      <c r="T47" s="31"/>
      <c r="U47" s="31"/>
      <c r="V47" s="31"/>
      <c r="W47" s="31"/>
      <c r="X47" s="31"/>
      <c r="Y47" s="31"/>
      <c r="Z47" s="31"/>
      <c r="AA47" s="31"/>
      <c r="AB47" s="31"/>
      <c r="AC47" s="31"/>
      <c r="AD47" s="31"/>
      <c r="AE47" s="31"/>
      <c r="AF47" s="31"/>
      <c r="AG47" s="31"/>
      <c r="AH47" s="31"/>
      <c r="AI47" s="28" t="s">
        <v>21</v>
      </c>
      <c r="AJ47" s="31"/>
      <c r="AK47" s="31"/>
      <c r="AL47" s="31"/>
      <c r="AM47" s="326">
        <f>IF(AN8= "","",AN8)</f>
        <v>44144</v>
      </c>
      <c r="AN47" s="326"/>
      <c r="AO47" s="31"/>
      <c r="AP47" s="31"/>
      <c r="AQ47" s="31"/>
      <c r="AR47" s="32"/>
      <c r="BE47" s="31"/>
    </row>
    <row r="48" spans="1:57" s="2" customFormat="1" ht="6.95" customHeight="1">
      <c r="A48" s="31"/>
      <c r="B48" s="32"/>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2"/>
      <c r="BE48" s="31"/>
    </row>
    <row r="49" spans="1:91" s="2" customFormat="1" ht="15.2" customHeight="1">
      <c r="A49" s="31"/>
      <c r="B49" s="32"/>
      <c r="C49" s="28" t="s">
        <v>22</v>
      </c>
      <c r="D49" s="31"/>
      <c r="E49" s="31"/>
      <c r="F49" s="31"/>
      <c r="G49" s="31"/>
      <c r="H49" s="31"/>
      <c r="I49" s="31"/>
      <c r="J49" s="31"/>
      <c r="K49" s="31"/>
      <c r="L49" s="4" t="str">
        <f>IF(E11= "","",E11)</f>
        <v>Nemocnice Nymburk s.r.o.</v>
      </c>
      <c r="M49" s="31"/>
      <c r="N49" s="31"/>
      <c r="O49" s="31"/>
      <c r="P49" s="31"/>
      <c r="Q49" s="31"/>
      <c r="R49" s="31"/>
      <c r="S49" s="31"/>
      <c r="T49" s="31"/>
      <c r="U49" s="31"/>
      <c r="V49" s="31"/>
      <c r="W49" s="31"/>
      <c r="X49" s="31"/>
      <c r="Y49" s="31"/>
      <c r="Z49" s="31"/>
      <c r="AA49" s="31"/>
      <c r="AB49" s="31"/>
      <c r="AC49" s="31"/>
      <c r="AD49" s="31"/>
      <c r="AE49" s="31"/>
      <c r="AF49" s="31"/>
      <c r="AG49" s="31"/>
      <c r="AH49" s="31"/>
      <c r="AI49" s="28" t="s">
        <v>30</v>
      </c>
      <c r="AJ49" s="31"/>
      <c r="AK49" s="31"/>
      <c r="AL49" s="31"/>
      <c r="AM49" s="327" t="str">
        <f>IF(E17="","",E17)</f>
        <v>Ing. arch. Pavel Petrák</v>
      </c>
      <c r="AN49" s="328"/>
      <c r="AO49" s="328"/>
      <c r="AP49" s="328"/>
      <c r="AQ49" s="31"/>
      <c r="AR49" s="32"/>
      <c r="AS49" s="329" t="s">
        <v>52</v>
      </c>
      <c r="AT49" s="330"/>
      <c r="AU49" s="50"/>
      <c r="AV49" s="50"/>
      <c r="AW49" s="50"/>
      <c r="AX49" s="50"/>
      <c r="AY49" s="50"/>
      <c r="AZ49" s="50"/>
      <c r="BA49" s="50"/>
      <c r="BB49" s="50"/>
      <c r="BC49" s="50"/>
      <c r="BD49" s="51"/>
      <c r="BE49" s="31"/>
    </row>
    <row r="50" spans="1:91" s="2" customFormat="1" ht="15.2" customHeight="1">
      <c r="A50" s="31"/>
      <c r="B50" s="32"/>
      <c r="C50" s="28" t="s">
        <v>28</v>
      </c>
      <c r="D50" s="31"/>
      <c r="E50" s="31"/>
      <c r="F50" s="31"/>
      <c r="G50" s="31"/>
      <c r="H50" s="31"/>
      <c r="I50" s="31"/>
      <c r="J50" s="31"/>
      <c r="K50" s="31"/>
      <c r="L50" s="4" t="str">
        <f>IF(E14="","",E14)</f>
        <v xml:space="preserve"> </v>
      </c>
      <c r="M50" s="31"/>
      <c r="N50" s="31"/>
      <c r="O50" s="31"/>
      <c r="P50" s="31"/>
      <c r="Q50" s="31"/>
      <c r="R50" s="31"/>
      <c r="S50" s="31"/>
      <c r="T50" s="31"/>
      <c r="U50" s="31"/>
      <c r="V50" s="31"/>
      <c r="W50" s="31"/>
      <c r="X50" s="31"/>
      <c r="Y50" s="31"/>
      <c r="Z50" s="31"/>
      <c r="AA50" s="31"/>
      <c r="AB50" s="31"/>
      <c r="AC50" s="31"/>
      <c r="AD50" s="31"/>
      <c r="AE50" s="31"/>
      <c r="AF50" s="31"/>
      <c r="AG50" s="31"/>
      <c r="AH50" s="31"/>
      <c r="AI50" s="28" t="s">
        <v>35</v>
      </c>
      <c r="AJ50" s="31"/>
      <c r="AK50" s="31"/>
      <c r="AL50" s="31"/>
      <c r="AM50" s="327" t="str">
        <f>IF(E20="","",E20)</f>
        <v xml:space="preserve"> </v>
      </c>
      <c r="AN50" s="328"/>
      <c r="AO50" s="328"/>
      <c r="AP50" s="328"/>
      <c r="AQ50" s="31"/>
      <c r="AR50" s="32"/>
      <c r="AS50" s="331"/>
      <c r="AT50" s="332"/>
      <c r="AU50" s="52"/>
      <c r="AV50" s="52"/>
      <c r="AW50" s="52"/>
      <c r="AX50" s="52"/>
      <c r="AY50" s="52"/>
      <c r="AZ50" s="52"/>
      <c r="BA50" s="52"/>
      <c r="BB50" s="52"/>
      <c r="BC50" s="52"/>
      <c r="BD50" s="53"/>
      <c r="BE50" s="31"/>
    </row>
    <row r="51" spans="1:91" s="2" customFormat="1" ht="10.9" customHeight="1">
      <c r="A51" s="31"/>
      <c r="B51" s="32"/>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2"/>
      <c r="AS51" s="331"/>
      <c r="AT51" s="332"/>
      <c r="AU51" s="52"/>
      <c r="AV51" s="52"/>
      <c r="AW51" s="52"/>
      <c r="AX51" s="52"/>
      <c r="AY51" s="52"/>
      <c r="AZ51" s="52"/>
      <c r="BA51" s="52"/>
      <c r="BB51" s="52"/>
      <c r="BC51" s="52"/>
      <c r="BD51" s="53"/>
      <c r="BE51" s="31"/>
    </row>
    <row r="52" spans="1:91" s="2" customFormat="1" ht="29.25" customHeight="1">
      <c r="A52" s="31"/>
      <c r="B52" s="32"/>
      <c r="C52" s="333" t="s">
        <v>53</v>
      </c>
      <c r="D52" s="334"/>
      <c r="E52" s="334"/>
      <c r="F52" s="334"/>
      <c r="G52" s="334"/>
      <c r="H52" s="54"/>
      <c r="I52" s="335" t="s">
        <v>54</v>
      </c>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6" t="s">
        <v>55</v>
      </c>
      <c r="AH52" s="334"/>
      <c r="AI52" s="334"/>
      <c r="AJ52" s="334"/>
      <c r="AK52" s="334"/>
      <c r="AL52" s="334"/>
      <c r="AM52" s="334"/>
      <c r="AN52" s="335" t="s">
        <v>56</v>
      </c>
      <c r="AO52" s="334"/>
      <c r="AP52" s="334"/>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c r="BE52" s="31"/>
    </row>
    <row r="53" spans="1:91" s="2" customFormat="1" ht="10.9" customHeight="1">
      <c r="A53" s="31"/>
      <c r="B53" s="32"/>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2"/>
      <c r="AS53" s="59"/>
      <c r="AT53" s="60"/>
      <c r="AU53" s="60"/>
      <c r="AV53" s="60"/>
      <c r="AW53" s="60"/>
      <c r="AX53" s="60"/>
      <c r="AY53" s="60"/>
      <c r="AZ53" s="60"/>
      <c r="BA53" s="60"/>
      <c r="BB53" s="60"/>
      <c r="BC53" s="60"/>
      <c r="BD53" s="61"/>
      <c r="BE53" s="31"/>
    </row>
    <row r="54" spans="1:91" s="6" customFormat="1" ht="32.450000000000003" customHeight="1">
      <c r="B54" s="62"/>
      <c r="C54" s="63" t="s">
        <v>70</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40">
        <f>ROUND(SUM(AG55:AG61),2)</f>
        <v>0</v>
      </c>
      <c r="AH54" s="340"/>
      <c r="AI54" s="340"/>
      <c r="AJ54" s="340"/>
      <c r="AK54" s="340"/>
      <c r="AL54" s="340"/>
      <c r="AM54" s="340"/>
      <c r="AN54" s="341">
        <f t="shared" ref="AN54:AN61" si="0">SUM(AG54,AT54)</f>
        <v>0</v>
      </c>
      <c r="AO54" s="341"/>
      <c r="AP54" s="341"/>
      <c r="AQ54" s="66" t="s">
        <v>3</v>
      </c>
      <c r="AR54" s="62"/>
      <c r="AS54" s="67">
        <f>ROUND(SUM(AS55:AS61),2)</f>
        <v>0</v>
      </c>
      <c r="AT54" s="68">
        <f t="shared" ref="AT54:AT61" si="1">ROUND(SUM(AV54:AW54),2)</f>
        <v>0</v>
      </c>
      <c r="AU54" s="69" t="e">
        <f>ROUND(SUM(AU55:AU61),5)</f>
        <v>#REF!</v>
      </c>
      <c r="AV54" s="68">
        <f>ROUND(AZ54*L29,2)</f>
        <v>0</v>
      </c>
      <c r="AW54" s="68">
        <f>ROUND(BA54*L30,2)</f>
        <v>0</v>
      </c>
      <c r="AX54" s="68">
        <f>ROUND(BB54*L29,2)</f>
        <v>0</v>
      </c>
      <c r="AY54" s="68">
        <f>ROUND(BC54*L30,2)</f>
        <v>0</v>
      </c>
      <c r="AZ54" s="68">
        <f>ROUND(SUM(AZ55:AZ61),2)</f>
        <v>0</v>
      </c>
      <c r="BA54" s="68">
        <f>ROUND(SUM(BA55:BA61),2)</f>
        <v>0</v>
      </c>
      <c r="BB54" s="68">
        <f>ROUND(SUM(BB55:BB61),2)</f>
        <v>0</v>
      </c>
      <c r="BC54" s="68">
        <f>ROUND(SUM(BC55:BC61),2)</f>
        <v>0</v>
      </c>
      <c r="BD54" s="70">
        <f>ROUND(SUM(BD55:BD61),2)</f>
        <v>0</v>
      </c>
      <c r="BS54" s="71" t="s">
        <v>71</v>
      </c>
      <c r="BT54" s="71" t="s">
        <v>72</v>
      </c>
      <c r="BU54" s="72" t="s">
        <v>73</v>
      </c>
      <c r="BV54" s="71" t="s">
        <v>74</v>
      </c>
      <c r="BW54" s="71" t="s">
        <v>5</v>
      </c>
      <c r="BX54" s="71" t="s">
        <v>75</v>
      </c>
      <c r="CL54" s="71" t="s">
        <v>16</v>
      </c>
    </row>
    <row r="55" spans="1:91" s="7" customFormat="1" ht="16.5" customHeight="1">
      <c r="A55" s="73" t="s">
        <v>76</v>
      </c>
      <c r="B55" s="74"/>
      <c r="C55" s="75"/>
      <c r="D55" s="339" t="s">
        <v>77</v>
      </c>
      <c r="E55" s="339"/>
      <c r="F55" s="339"/>
      <c r="G55" s="339"/>
      <c r="H55" s="339"/>
      <c r="I55" s="76"/>
      <c r="J55" s="339" t="s">
        <v>78</v>
      </c>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7">
        <f>'01 - Stavební část'!J59</f>
        <v>0</v>
      </c>
      <c r="AH55" s="338"/>
      <c r="AI55" s="338"/>
      <c r="AJ55" s="338"/>
      <c r="AK55" s="338"/>
      <c r="AL55" s="338"/>
      <c r="AM55" s="338"/>
      <c r="AN55" s="337">
        <f t="shared" si="0"/>
        <v>0</v>
      </c>
      <c r="AO55" s="338"/>
      <c r="AP55" s="338"/>
      <c r="AQ55" s="77" t="s">
        <v>79</v>
      </c>
      <c r="AR55" s="74"/>
      <c r="AS55" s="78">
        <v>0</v>
      </c>
      <c r="AT55" s="79">
        <f t="shared" si="1"/>
        <v>0</v>
      </c>
      <c r="AU55" s="80" t="e">
        <f>'01 - Stavební část'!P93</f>
        <v>#REF!</v>
      </c>
      <c r="AV55" s="79">
        <f>'01 - Stavební část'!J33</f>
        <v>0</v>
      </c>
      <c r="AW55" s="79">
        <f>'01 - Stavební část'!J34</f>
        <v>0</v>
      </c>
      <c r="AX55" s="79">
        <f>'01 - Stavební část'!J35</f>
        <v>0</v>
      </c>
      <c r="AY55" s="79">
        <f>'01 - Stavební část'!J36</f>
        <v>0</v>
      </c>
      <c r="AZ55" s="79">
        <f>'01 - Stavební část'!F33</f>
        <v>0</v>
      </c>
      <c r="BA55" s="79">
        <f>'01 - Stavební část'!F34</f>
        <v>0</v>
      </c>
      <c r="BB55" s="79">
        <f>'01 - Stavební část'!F35</f>
        <v>0</v>
      </c>
      <c r="BC55" s="79">
        <f>'01 - Stavební část'!F36</f>
        <v>0</v>
      </c>
      <c r="BD55" s="81">
        <f>'01 - Stavební část'!F37</f>
        <v>0</v>
      </c>
      <c r="BT55" s="82" t="s">
        <v>80</v>
      </c>
      <c r="BV55" s="82" t="s">
        <v>74</v>
      </c>
      <c r="BW55" s="82" t="s">
        <v>81</v>
      </c>
      <c r="BX55" s="82" t="s">
        <v>5</v>
      </c>
      <c r="CL55" s="82" t="s">
        <v>16</v>
      </c>
      <c r="CM55" s="82" t="s">
        <v>82</v>
      </c>
    </row>
    <row r="56" spans="1:91" s="7" customFormat="1" ht="16.5" customHeight="1">
      <c r="A56" s="73" t="s">
        <v>76</v>
      </c>
      <c r="B56" s="74"/>
      <c r="C56" s="75"/>
      <c r="D56" s="339" t="s">
        <v>83</v>
      </c>
      <c r="E56" s="339"/>
      <c r="F56" s="339"/>
      <c r="G56" s="339"/>
      <c r="H56" s="339"/>
      <c r="I56" s="76"/>
      <c r="J56" s="339" t="s">
        <v>84</v>
      </c>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7">
        <f>'02 - Zdravotechnika'!J30</f>
        <v>0</v>
      </c>
      <c r="AH56" s="338"/>
      <c r="AI56" s="338"/>
      <c r="AJ56" s="338"/>
      <c r="AK56" s="338"/>
      <c r="AL56" s="338"/>
      <c r="AM56" s="338"/>
      <c r="AN56" s="337">
        <f t="shared" si="0"/>
        <v>0</v>
      </c>
      <c r="AO56" s="338"/>
      <c r="AP56" s="338"/>
      <c r="AQ56" s="77" t="s">
        <v>79</v>
      </c>
      <c r="AR56" s="74"/>
      <c r="AS56" s="78">
        <v>0</v>
      </c>
      <c r="AT56" s="79">
        <f t="shared" si="1"/>
        <v>0</v>
      </c>
      <c r="AU56" s="80">
        <f>'02 - Zdravotechnika'!P94</f>
        <v>188.97164856000001</v>
      </c>
      <c r="AV56" s="79">
        <f>'02 - Zdravotechnika'!J33</f>
        <v>0</v>
      </c>
      <c r="AW56" s="79">
        <f>'02 - Zdravotechnika'!J34</f>
        <v>0</v>
      </c>
      <c r="AX56" s="79">
        <f>'02 - Zdravotechnika'!J35</f>
        <v>0</v>
      </c>
      <c r="AY56" s="79">
        <f>'02 - Zdravotechnika'!J36</f>
        <v>0</v>
      </c>
      <c r="AZ56" s="79">
        <f>'02 - Zdravotechnika'!F33</f>
        <v>0</v>
      </c>
      <c r="BA56" s="79">
        <f>'02 - Zdravotechnika'!F34</f>
        <v>0</v>
      </c>
      <c r="BB56" s="79">
        <f>'02 - Zdravotechnika'!F35</f>
        <v>0</v>
      </c>
      <c r="BC56" s="79">
        <f>'02 - Zdravotechnika'!F36</f>
        <v>0</v>
      </c>
      <c r="BD56" s="81">
        <f>'02 - Zdravotechnika'!F37</f>
        <v>0</v>
      </c>
      <c r="BT56" s="82" t="s">
        <v>80</v>
      </c>
      <c r="BV56" s="82" t="s">
        <v>74</v>
      </c>
      <c r="BW56" s="82" t="s">
        <v>85</v>
      </c>
      <c r="BX56" s="82" t="s">
        <v>5</v>
      </c>
      <c r="CL56" s="82" t="s">
        <v>16</v>
      </c>
      <c r="CM56" s="82" t="s">
        <v>82</v>
      </c>
    </row>
    <row r="57" spans="1:91" s="7" customFormat="1" ht="16.5" customHeight="1">
      <c r="A57" s="73" t="s">
        <v>76</v>
      </c>
      <c r="B57" s="74"/>
      <c r="C57" s="75"/>
      <c r="D57" s="339" t="s">
        <v>86</v>
      </c>
      <c r="E57" s="339"/>
      <c r="F57" s="339"/>
      <c r="G57" s="339"/>
      <c r="H57" s="339"/>
      <c r="I57" s="76"/>
      <c r="J57" s="339" t="s">
        <v>87</v>
      </c>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7">
        <f>'03 - Vytápění'!J30</f>
        <v>0</v>
      </c>
      <c r="AH57" s="338"/>
      <c r="AI57" s="338"/>
      <c r="AJ57" s="338"/>
      <c r="AK57" s="338"/>
      <c r="AL57" s="338"/>
      <c r="AM57" s="338"/>
      <c r="AN57" s="337">
        <f t="shared" si="0"/>
        <v>0</v>
      </c>
      <c r="AO57" s="338"/>
      <c r="AP57" s="338"/>
      <c r="AQ57" s="77" t="s">
        <v>79</v>
      </c>
      <c r="AR57" s="74"/>
      <c r="AS57" s="78">
        <v>0</v>
      </c>
      <c r="AT57" s="79">
        <f t="shared" si="1"/>
        <v>0</v>
      </c>
      <c r="AU57" s="80">
        <f>'03 - Vytápění'!P92</f>
        <v>42.122180767857145</v>
      </c>
      <c r="AV57" s="79">
        <f>'03 - Vytápění'!J33</f>
        <v>0</v>
      </c>
      <c r="AW57" s="79">
        <f>'03 - Vytápění'!J34</f>
        <v>0</v>
      </c>
      <c r="AX57" s="79">
        <f>'03 - Vytápění'!J35</f>
        <v>0</v>
      </c>
      <c r="AY57" s="79">
        <f>'03 - Vytápění'!J36</f>
        <v>0</v>
      </c>
      <c r="AZ57" s="79">
        <f>'03 - Vytápění'!F33</f>
        <v>0</v>
      </c>
      <c r="BA57" s="79">
        <f>'03 - Vytápění'!F34</f>
        <v>0</v>
      </c>
      <c r="BB57" s="79">
        <f>'03 - Vytápění'!F35</f>
        <v>0</v>
      </c>
      <c r="BC57" s="79">
        <f>'03 - Vytápění'!F36</f>
        <v>0</v>
      </c>
      <c r="BD57" s="81">
        <f>'03 - Vytápění'!F37</f>
        <v>0</v>
      </c>
      <c r="BT57" s="82" t="s">
        <v>80</v>
      </c>
      <c r="BV57" s="82" t="s">
        <v>74</v>
      </c>
      <c r="BW57" s="82" t="s">
        <v>88</v>
      </c>
      <c r="BX57" s="82" t="s">
        <v>5</v>
      </c>
      <c r="CL57" s="82" t="s">
        <v>16</v>
      </c>
      <c r="CM57" s="82" t="s">
        <v>82</v>
      </c>
    </row>
    <row r="58" spans="1:91" s="7" customFormat="1" ht="16.5" customHeight="1">
      <c r="A58" s="73" t="s">
        <v>76</v>
      </c>
      <c r="B58" s="74"/>
      <c r="C58" s="75"/>
      <c r="D58" s="339" t="s">
        <v>89</v>
      </c>
      <c r="E58" s="339"/>
      <c r="F58" s="339"/>
      <c r="G58" s="339"/>
      <c r="H58" s="339"/>
      <c r="I58" s="76"/>
      <c r="J58" s="339" t="s">
        <v>90</v>
      </c>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7">
        <f>'04 - Elektroinstalace'!J30</f>
        <v>0</v>
      </c>
      <c r="AH58" s="338"/>
      <c r="AI58" s="338"/>
      <c r="AJ58" s="338"/>
      <c r="AK58" s="338"/>
      <c r="AL58" s="338"/>
      <c r="AM58" s="338"/>
      <c r="AN58" s="337">
        <f t="shared" si="0"/>
        <v>0</v>
      </c>
      <c r="AO58" s="338"/>
      <c r="AP58" s="338"/>
      <c r="AQ58" s="77" t="s">
        <v>79</v>
      </c>
      <c r="AR58" s="74"/>
      <c r="AS58" s="78">
        <v>0</v>
      </c>
      <c r="AT58" s="79">
        <f t="shared" si="1"/>
        <v>0</v>
      </c>
      <c r="AU58" s="80">
        <f>'04 - Elektroinstalace'!P89</f>
        <v>575.03536000000008</v>
      </c>
      <c r="AV58" s="79">
        <f>'04 - Elektroinstalace'!J33</f>
        <v>0</v>
      </c>
      <c r="AW58" s="79">
        <f>'04 - Elektroinstalace'!J34</f>
        <v>0</v>
      </c>
      <c r="AX58" s="79">
        <f>'04 - Elektroinstalace'!J35</f>
        <v>0</v>
      </c>
      <c r="AY58" s="79">
        <f>'04 - Elektroinstalace'!J36</f>
        <v>0</v>
      </c>
      <c r="AZ58" s="79">
        <f>'04 - Elektroinstalace'!F33</f>
        <v>0</v>
      </c>
      <c r="BA58" s="79">
        <f>'04 - Elektroinstalace'!F34</f>
        <v>0</v>
      </c>
      <c r="BB58" s="79">
        <f>'04 - Elektroinstalace'!F35</f>
        <v>0</v>
      </c>
      <c r="BC58" s="79">
        <f>'04 - Elektroinstalace'!F36</f>
        <v>0</v>
      </c>
      <c r="BD58" s="81">
        <f>'04 - Elektroinstalace'!F37</f>
        <v>0</v>
      </c>
      <c r="BT58" s="82" t="s">
        <v>80</v>
      </c>
      <c r="BV58" s="82" t="s">
        <v>74</v>
      </c>
      <c r="BW58" s="82" t="s">
        <v>91</v>
      </c>
      <c r="BX58" s="82" t="s">
        <v>5</v>
      </c>
      <c r="CL58" s="82" t="s">
        <v>16</v>
      </c>
      <c r="CM58" s="82" t="s">
        <v>82</v>
      </c>
    </row>
    <row r="59" spans="1:91" s="7" customFormat="1" ht="16.5" customHeight="1">
      <c r="A59" s="73" t="s">
        <v>76</v>
      </c>
      <c r="B59" s="74"/>
      <c r="C59" s="75"/>
      <c r="D59" s="339" t="s">
        <v>92</v>
      </c>
      <c r="E59" s="339"/>
      <c r="F59" s="339"/>
      <c r="G59" s="339"/>
      <c r="H59" s="339"/>
      <c r="I59" s="76"/>
      <c r="J59" s="339" t="s">
        <v>93</v>
      </c>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7">
        <f>'05 - VZT'!J30</f>
        <v>0</v>
      </c>
      <c r="AH59" s="338"/>
      <c r="AI59" s="338"/>
      <c r="AJ59" s="338"/>
      <c r="AK59" s="338"/>
      <c r="AL59" s="338"/>
      <c r="AM59" s="338"/>
      <c r="AN59" s="337">
        <f t="shared" si="0"/>
        <v>0</v>
      </c>
      <c r="AO59" s="338"/>
      <c r="AP59" s="338"/>
      <c r="AQ59" s="77" t="s">
        <v>79</v>
      </c>
      <c r="AR59" s="74"/>
      <c r="AS59" s="78">
        <v>0</v>
      </c>
      <c r="AT59" s="79">
        <f t="shared" si="1"/>
        <v>0</v>
      </c>
      <c r="AU59" s="80">
        <f>'05 - VZT'!P88</f>
        <v>35.805533762500005</v>
      </c>
      <c r="AV59" s="79">
        <f>'05 - VZT'!J33</f>
        <v>0</v>
      </c>
      <c r="AW59" s="79">
        <f>'05 - VZT'!J34</f>
        <v>0</v>
      </c>
      <c r="AX59" s="79">
        <f>'05 - VZT'!J35</f>
        <v>0</v>
      </c>
      <c r="AY59" s="79">
        <f>'05 - VZT'!J36</f>
        <v>0</v>
      </c>
      <c r="AZ59" s="79">
        <f>'05 - VZT'!F33</f>
        <v>0</v>
      </c>
      <c r="BA59" s="79">
        <f>'05 - VZT'!F34</f>
        <v>0</v>
      </c>
      <c r="BB59" s="79">
        <f>'05 - VZT'!F35</f>
        <v>0</v>
      </c>
      <c r="BC59" s="79">
        <f>'05 - VZT'!F36</f>
        <v>0</v>
      </c>
      <c r="BD59" s="81">
        <f>'05 - VZT'!F37</f>
        <v>0</v>
      </c>
      <c r="BT59" s="82" t="s">
        <v>80</v>
      </c>
      <c r="BV59" s="82" t="s">
        <v>74</v>
      </c>
      <c r="BW59" s="82" t="s">
        <v>94</v>
      </c>
      <c r="BX59" s="82" t="s">
        <v>5</v>
      </c>
      <c r="CL59" s="82" t="s">
        <v>16</v>
      </c>
      <c r="CM59" s="82" t="s">
        <v>82</v>
      </c>
    </row>
    <row r="60" spans="1:91" s="7" customFormat="1" ht="16.5" customHeight="1">
      <c r="A60" s="73" t="s">
        <v>76</v>
      </c>
      <c r="B60" s="74"/>
      <c r="C60" s="75"/>
      <c r="D60" s="339" t="s">
        <v>95</v>
      </c>
      <c r="E60" s="339"/>
      <c r="F60" s="339"/>
      <c r="G60" s="339"/>
      <c r="H60" s="339"/>
      <c r="I60" s="76"/>
      <c r="J60" s="339" t="s">
        <v>96</v>
      </c>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7">
        <f>'06 - Interiérové vybavení'!J30</f>
        <v>0</v>
      </c>
      <c r="AH60" s="338"/>
      <c r="AI60" s="338"/>
      <c r="AJ60" s="338"/>
      <c r="AK60" s="338"/>
      <c r="AL60" s="338"/>
      <c r="AM60" s="338"/>
      <c r="AN60" s="337">
        <f t="shared" si="0"/>
        <v>0</v>
      </c>
      <c r="AO60" s="338"/>
      <c r="AP60" s="338"/>
      <c r="AQ60" s="77" t="s">
        <v>79</v>
      </c>
      <c r="AR60" s="74"/>
      <c r="AS60" s="78">
        <v>0</v>
      </c>
      <c r="AT60" s="79">
        <f t="shared" si="1"/>
        <v>0</v>
      </c>
      <c r="AU60" s="80" t="e">
        <f>'06 - Interiérové vybavení'!P82</f>
        <v>#REF!</v>
      </c>
      <c r="AV60" s="79">
        <f>'06 - Interiérové vybavení'!J33</f>
        <v>0</v>
      </c>
      <c r="AW60" s="79">
        <f>'06 - Interiérové vybavení'!J34</f>
        <v>0</v>
      </c>
      <c r="AX60" s="79">
        <f>'06 - Interiérové vybavení'!J35</f>
        <v>0</v>
      </c>
      <c r="AY60" s="79">
        <f>'06 - Interiérové vybavení'!J36</f>
        <v>0</v>
      </c>
      <c r="AZ60" s="79">
        <f>'06 - Interiérové vybavení'!F33</f>
        <v>0</v>
      </c>
      <c r="BA60" s="79">
        <f>'06 - Interiérové vybavení'!F34</f>
        <v>0</v>
      </c>
      <c r="BB60" s="79">
        <f>'06 - Interiérové vybavení'!F35</f>
        <v>0</v>
      </c>
      <c r="BC60" s="79">
        <f>'06 - Interiérové vybavení'!F36</f>
        <v>0</v>
      </c>
      <c r="BD60" s="81">
        <f>'06 - Interiérové vybavení'!F37</f>
        <v>0</v>
      </c>
      <c r="BT60" s="82" t="s">
        <v>80</v>
      </c>
      <c r="BV60" s="82" t="s">
        <v>74</v>
      </c>
      <c r="BW60" s="82" t="s">
        <v>97</v>
      </c>
      <c r="BX60" s="82" t="s">
        <v>5</v>
      </c>
      <c r="CL60" s="82" t="s">
        <v>16</v>
      </c>
      <c r="CM60" s="82" t="s">
        <v>82</v>
      </c>
    </row>
    <row r="61" spans="1:91" s="7" customFormat="1" ht="16.5" customHeight="1">
      <c r="A61" s="73" t="s">
        <v>76</v>
      </c>
      <c r="B61" s="74"/>
      <c r="C61" s="75"/>
      <c r="D61" s="339" t="s">
        <v>98</v>
      </c>
      <c r="E61" s="339"/>
      <c r="F61" s="339"/>
      <c r="G61" s="339"/>
      <c r="H61" s="339"/>
      <c r="I61" s="76"/>
      <c r="J61" s="339" t="s">
        <v>99</v>
      </c>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7">
        <f>'07 - VRN'!J30</f>
        <v>0</v>
      </c>
      <c r="AH61" s="338"/>
      <c r="AI61" s="338"/>
      <c r="AJ61" s="338"/>
      <c r="AK61" s="338"/>
      <c r="AL61" s="338"/>
      <c r="AM61" s="338"/>
      <c r="AN61" s="337">
        <f t="shared" si="0"/>
        <v>0</v>
      </c>
      <c r="AO61" s="338"/>
      <c r="AP61" s="338"/>
      <c r="AQ61" s="77" t="s">
        <v>79</v>
      </c>
      <c r="AR61" s="74"/>
      <c r="AS61" s="83">
        <v>0</v>
      </c>
      <c r="AT61" s="84">
        <f t="shared" si="1"/>
        <v>0</v>
      </c>
      <c r="AU61" s="85" t="e">
        <f>'07 - VRN'!P82</f>
        <v>#REF!</v>
      </c>
      <c r="AV61" s="84">
        <f>'07 - VRN'!J33</f>
        <v>0</v>
      </c>
      <c r="AW61" s="84">
        <f>'07 - VRN'!J34</f>
        <v>0</v>
      </c>
      <c r="AX61" s="84">
        <f>'07 - VRN'!J35</f>
        <v>0</v>
      </c>
      <c r="AY61" s="84">
        <f>'07 - VRN'!J36</f>
        <v>0</v>
      </c>
      <c r="AZ61" s="84">
        <f>'07 - VRN'!F33</f>
        <v>0</v>
      </c>
      <c r="BA61" s="84">
        <f>'07 - VRN'!F34</f>
        <v>0</v>
      </c>
      <c r="BB61" s="84">
        <f>'07 - VRN'!F35</f>
        <v>0</v>
      </c>
      <c r="BC61" s="84">
        <f>'07 - VRN'!F36</f>
        <v>0</v>
      </c>
      <c r="BD61" s="86">
        <f>'07 - VRN'!F37</f>
        <v>0</v>
      </c>
      <c r="BT61" s="82" t="s">
        <v>80</v>
      </c>
      <c r="BV61" s="82" t="s">
        <v>74</v>
      </c>
      <c r="BW61" s="82" t="s">
        <v>100</v>
      </c>
      <c r="BX61" s="82" t="s">
        <v>5</v>
      </c>
      <c r="CL61" s="82" t="s">
        <v>16</v>
      </c>
      <c r="CM61" s="82" t="s">
        <v>82</v>
      </c>
    </row>
    <row r="62" spans="1:91" s="2" customFormat="1" ht="30" customHeight="1">
      <c r="A62" s="31"/>
      <c r="B62" s="32"/>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2"/>
      <c r="AS62" s="31"/>
      <c r="AT62" s="31"/>
      <c r="AU62" s="31"/>
      <c r="AV62" s="31"/>
      <c r="AW62" s="31"/>
      <c r="AX62" s="31"/>
      <c r="AY62" s="31"/>
      <c r="AZ62" s="31"/>
      <c r="BA62" s="31"/>
      <c r="BB62" s="31"/>
      <c r="BC62" s="31"/>
      <c r="BD62" s="31"/>
      <c r="BE62" s="31"/>
    </row>
    <row r="63" spans="1:91" s="2" customFormat="1" ht="6.95" customHeight="1">
      <c r="A63" s="31"/>
      <c r="B63" s="4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32"/>
      <c r="AS63" s="31"/>
      <c r="AT63" s="31"/>
      <c r="AU63" s="31"/>
      <c r="AV63" s="31"/>
      <c r="AW63" s="31"/>
      <c r="AX63" s="31"/>
      <c r="AY63" s="31"/>
      <c r="AZ63" s="31"/>
      <c r="BA63" s="31"/>
      <c r="BB63" s="31"/>
      <c r="BC63" s="31"/>
      <c r="BD63" s="31"/>
      <c r="BE63" s="31"/>
    </row>
  </sheetData>
  <mergeCells count="64">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60:AP60"/>
    <mergeCell ref="AG60:AM60"/>
    <mergeCell ref="D60:H60"/>
    <mergeCell ref="J60:AF60"/>
    <mergeCell ref="AN61:AP61"/>
    <mergeCell ref="AG61:AM61"/>
    <mergeCell ref="D61:H61"/>
    <mergeCell ref="J61:AF61"/>
    <mergeCell ref="AN58:AP58"/>
    <mergeCell ref="AG58:AM58"/>
    <mergeCell ref="J58:AF58"/>
    <mergeCell ref="D58:H58"/>
    <mergeCell ref="AN59:AP59"/>
    <mergeCell ref="AG59:AM59"/>
    <mergeCell ref="D59:H59"/>
    <mergeCell ref="J59:AF59"/>
    <mergeCell ref="J56:AF56"/>
    <mergeCell ref="D56:H56"/>
    <mergeCell ref="AN56:AP56"/>
    <mergeCell ref="AG56:AM56"/>
    <mergeCell ref="J57:AF57"/>
    <mergeCell ref="AG57:AM57"/>
    <mergeCell ref="D57:H57"/>
    <mergeCell ref="AN57:AP57"/>
    <mergeCell ref="C52:G52"/>
    <mergeCell ref="AN52:AP52"/>
    <mergeCell ref="AG52:AM52"/>
    <mergeCell ref="I52:AF52"/>
    <mergeCell ref="AN55:AP55"/>
    <mergeCell ref="D55:H55"/>
    <mergeCell ref="AG55:AM55"/>
    <mergeCell ref="J55:AF55"/>
    <mergeCell ref="AG54:AM54"/>
    <mergeCell ref="AN54:AP54"/>
    <mergeCell ref="L45:AO45"/>
    <mergeCell ref="AM47:AN47"/>
    <mergeCell ref="AM49:AP49"/>
    <mergeCell ref="AS49:AT51"/>
    <mergeCell ref="AM50:AP50"/>
  </mergeCells>
  <hyperlinks>
    <hyperlink ref="A55" location="'01 - Stavební část'!C2" display="/" xr:uid="{00000000-0004-0000-0000-000000000000}"/>
    <hyperlink ref="A56" location="'02 - Zdravotechnika'!C2" display="/" xr:uid="{00000000-0004-0000-0000-000001000000}"/>
    <hyperlink ref="A57" location="'03 - Vytápění'!C2" display="/" xr:uid="{00000000-0004-0000-0000-000002000000}"/>
    <hyperlink ref="A58" location="'04 - Elektroinstalace'!C2" display="/" xr:uid="{00000000-0004-0000-0000-000003000000}"/>
    <hyperlink ref="A59" location="'05 - VZT'!C2" display="/" xr:uid="{00000000-0004-0000-0000-000004000000}"/>
    <hyperlink ref="A60" location="'06 - Interiérové vybavení'!C2" display="/" xr:uid="{00000000-0004-0000-0000-000005000000}"/>
    <hyperlink ref="A61" location="'07 - VRN'!C2" display="/" xr:uid="{00000000-0004-0000-0000-000006000000}"/>
  </hyperlinks>
  <printOptions horizontalCentered="1"/>
  <pageMargins left="0.39370078740157483" right="0.39370078740157483" top="0.39370078740157483" bottom="0.39370078740157483" header="0" footer="0"/>
  <pageSetup paperSize="9" scale="66" fitToHeight="100" orientation="portrait" horizontalDpi="4294967293" verticalDpi="4294967293"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600"/>
  <sheetViews>
    <sheetView showGridLines="0" view="pageBreakPreview" topLeftCell="A79" zoomScale="70" zoomScaleNormal="90" zoomScaleSheetLayoutView="70" workbookViewId="0">
      <selection activeCell="I96" sqref="I96:I60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52" t="s">
        <v>6</v>
      </c>
      <c r="M2" s="346"/>
      <c r="N2" s="346"/>
      <c r="O2" s="346"/>
      <c r="P2" s="346"/>
      <c r="Q2" s="346"/>
      <c r="R2" s="346"/>
      <c r="S2" s="346"/>
      <c r="T2" s="346"/>
      <c r="U2" s="346"/>
      <c r="V2" s="346"/>
      <c r="AT2" s="19" t="s">
        <v>81</v>
      </c>
    </row>
    <row r="3" spans="1:46" s="1" customFormat="1" ht="6.95" customHeight="1">
      <c r="B3" s="20"/>
      <c r="C3" s="21"/>
      <c r="D3" s="21"/>
      <c r="E3" s="21"/>
      <c r="F3" s="21"/>
      <c r="G3" s="21"/>
      <c r="H3" s="21"/>
      <c r="I3" s="21"/>
      <c r="J3" s="21"/>
      <c r="K3" s="21"/>
      <c r="L3" s="22"/>
      <c r="AT3" s="19" t="s">
        <v>82</v>
      </c>
    </row>
    <row r="4" spans="1:46" s="1" customFormat="1" ht="24.95" customHeight="1">
      <c r="B4" s="22"/>
      <c r="D4" s="23" t="s">
        <v>101</v>
      </c>
      <c r="L4" s="22"/>
      <c r="M4" s="88" t="s">
        <v>11</v>
      </c>
      <c r="AT4" s="19" t="s">
        <v>4</v>
      </c>
    </row>
    <row r="5" spans="1:46" s="1" customFormat="1" ht="6.95" customHeight="1">
      <c r="B5" s="22"/>
      <c r="L5" s="22"/>
    </row>
    <row r="6" spans="1:46" s="1" customFormat="1" ht="12" customHeight="1">
      <c r="B6" s="22"/>
      <c r="D6" s="28" t="s">
        <v>14</v>
      </c>
      <c r="L6" s="22"/>
    </row>
    <row r="7" spans="1:46" s="1" customFormat="1" ht="23.25" customHeight="1">
      <c r="B7" s="22"/>
      <c r="E7" s="358" t="str">
        <f>'Rekapitulace stavby'!K6</f>
        <v>Rekonstrukce objektu vrátnice a areálu Nemocnice Nymburk s.r.o. , objekt na č.parc. 323, k.ú. Nymburk</v>
      </c>
      <c r="F7" s="359"/>
      <c r="G7" s="359"/>
      <c r="H7" s="359"/>
      <c r="L7" s="22"/>
    </row>
    <row r="8" spans="1:46" s="2" customFormat="1" ht="12" customHeight="1">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4" t="s">
        <v>103</v>
      </c>
      <c r="F9" s="357"/>
      <c r="G9" s="357"/>
      <c r="H9" s="357"/>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45" t="str">
        <f>'Rekapitulace stavby'!E14</f>
        <v xml:space="preserve"> </v>
      </c>
      <c r="F18" s="345"/>
      <c r="G18" s="345"/>
      <c r="H18" s="345"/>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48" t="s">
        <v>37</v>
      </c>
      <c r="F27" s="348"/>
      <c r="G27" s="348"/>
      <c r="H27" s="348"/>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38</v>
      </c>
      <c r="E30" s="31"/>
      <c r="F30" s="31"/>
      <c r="G30" s="31"/>
      <c r="H30" s="31"/>
      <c r="I30" s="31"/>
      <c r="J30" s="65">
        <f>ROUND(J93,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42</v>
      </c>
      <c r="E33" s="28" t="s">
        <v>43</v>
      </c>
      <c r="F33" s="95">
        <f>ROUND((SUM(BE93:BE599)),  2)</f>
        <v>0</v>
      </c>
      <c r="G33" s="31"/>
      <c r="H33" s="31"/>
      <c r="I33" s="96">
        <v>0.21</v>
      </c>
      <c r="J33" s="95">
        <f>ROUND(((SUM(BE93:BE599))*I33),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44</v>
      </c>
      <c r="F34" s="95">
        <f>ROUND((SUM(BF93:BF599)),  2)</f>
        <v>0</v>
      </c>
      <c r="G34" s="31"/>
      <c r="H34" s="31"/>
      <c r="I34" s="96">
        <v>0.15</v>
      </c>
      <c r="J34" s="95">
        <f>ROUND(((SUM(BF93:BF599))*I34),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45</v>
      </c>
      <c r="F35" s="95">
        <f>ROUND((SUM(BG93:BG599)),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46</v>
      </c>
      <c r="F36" s="95">
        <f>ROUND((SUM(BH93:BH599)),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47</v>
      </c>
      <c r="F37" s="95">
        <f>ROUND((SUM(BI93:BI599)),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58" t="str">
        <f>E7</f>
        <v>Rekonstrukce objektu vrátnice a areálu Nemocnice Nymburk s.r.o. , objekt na č.parc. 323, k.ú. Nymburk</v>
      </c>
      <c r="F48" s="359"/>
      <c r="G48" s="359"/>
      <c r="H48" s="359"/>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4" t="str">
        <f>E9</f>
        <v>01 - Stavební část</v>
      </c>
      <c r="F50" s="357"/>
      <c r="G50" s="357"/>
      <c r="H50" s="357"/>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28</v>
      </c>
      <c r="D55" s="31"/>
      <c r="E55" s="31"/>
      <c r="F55" s="26" t="str">
        <f>IF(E18="","",E18)</f>
        <v xml:space="preserve"> </v>
      </c>
      <c r="G55" s="31"/>
      <c r="H55" s="31"/>
      <c r="I55" s="28" t="s">
        <v>35</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70</v>
      </c>
      <c r="D59" s="31"/>
      <c r="E59" s="31"/>
      <c r="F59" s="31"/>
      <c r="G59" s="31"/>
      <c r="H59" s="31"/>
      <c r="I59" s="31"/>
      <c r="J59" s="65">
        <f>J60+J66</f>
        <v>0</v>
      </c>
      <c r="K59" s="31"/>
      <c r="L59" s="89"/>
      <c r="S59" s="31"/>
      <c r="T59" s="31"/>
      <c r="U59" s="31"/>
      <c r="V59" s="31"/>
      <c r="W59" s="31"/>
      <c r="X59" s="31"/>
      <c r="Y59" s="31"/>
      <c r="Z59" s="31"/>
      <c r="AA59" s="31"/>
      <c r="AB59" s="31"/>
      <c r="AC59" s="31"/>
      <c r="AD59" s="31"/>
      <c r="AE59" s="31"/>
      <c r="AU59" s="19" t="s">
        <v>107</v>
      </c>
    </row>
    <row r="60" spans="1:47" s="9" customFormat="1" ht="24.95" customHeight="1">
      <c r="B60" s="106"/>
      <c r="D60" s="107" t="s">
        <v>108</v>
      </c>
      <c r="E60" s="108"/>
      <c r="F60" s="108"/>
      <c r="G60" s="108"/>
      <c r="H60" s="108"/>
      <c r="I60" s="108"/>
      <c r="J60" s="109">
        <f>J94</f>
        <v>0</v>
      </c>
      <c r="L60" s="106"/>
    </row>
    <row r="61" spans="1:47" s="10" customFormat="1" ht="19.899999999999999" customHeight="1">
      <c r="B61" s="110"/>
      <c r="D61" s="111" t="s">
        <v>109</v>
      </c>
      <c r="E61" s="112"/>
      <c r="F61" s="112"/>
      <c r="G61" s="112"/>
      <c r="H61" s="112"/>
      <c r="I61" s="112"/>
      <c r="J61" s="113">
        <f>J95</f>
        <v>0</v>
      </c>
      <c r="L61" s="110"/>
    </row>
    <row r="62" spans="1:47" s="10" customFormat="1" ht="19.899999999999999" customHeight="1">
      <c r="B62" s="110"/>
      <c r="D62" s="111" t="s">
        <v>110</v>
      </c>
      <c r="E62" s="112"/>
      <c r="F62" s="112"/>
      <c r="G62" s="112"/>
      <c r="H62" s="112"/>
      <c r="I62" s="112"/>
      <c r="J62" s="276">
        <f>J158</f>
        <v>0</v>
      </c>
      <c r="L62" s="110"/>
    </row>
    <row r="63" spans="1:47" s="10" customFormat="1" ht="19.899999999999999" customHeight="1">
      <c r="B63" s="110"/>
      <c r="D63" s="111" t="s">
        <v>111</v>
      </c>
      <c r="E63" s="112"/>
      <c r="F63" s="112"/>
      <c r="G63" s="112"/>
      <c r="H63" s="112"/>
      <c r="I63" s="112"/>
      <c r="J63" s="113">
        <f>J184</f>
        <v>0</v>
      </c>
      <c r="L63" s="110"/>
    </row>
    <row r="64" spans="1:47" s="10" customFormat="1" ht="19.899999999999999" customHeight="1">
      <c r="B64" s="110"/>
      <c r="D64" s="111" t="s">
        <v>112</v>
      </c>
      <c r="E64" s="112"/>
      <c r="F64" s="112"/>
      <c r="G64" s="112"/>
      <c r="H64" s="112"/>
      <c r="I64" s="112"/>
      <c r="J64" s="276">
        <f>J236</f>
        <v>0</v>
      </c>
      <c r="L64" s="110"/>
    </row>
    <row r="65" spans="1:31" s="10" customFormat="1" ht="19.899999999999999" customHeight="1">
      <c r="B65" s="110"/>
      <c r="D65" s="111" t="s">
        <v>113</v>
      </c>
      <c r="E65" s="112"/>
      <c r="F65" s="112"/>
      <c r="G65" s="112"/>
      <c r="H65" s="112"/>
      <c r="I65" s="112"/>
      <c r="J65" s="113">
        <f>J249</f>
        <v>0</v>
      </c>
      <c r="L65" s="110"/>
    </row>
    <row r="66" spans="1:31" s="9" customFormat="1" ht="24.95" customHeight="1">
      <c r="B66" s="106"/>
      <c r="D66" s="107" t="s">
        <v>114</v>
      </c>
      <c r="E66" s="108"/>
      <c r="F66" s="108"/>
      <c r="G66" s="108"/>
      <c r="H66" s="108"/>
      <c r="I66" s="108"/>
      <c r="J66" s="109">
        <f>SUM(J67:J73)</f>
        <v>0</v>
      </c>
      <c r="L66" s="106"/>
    </row>
    <row r="67" spans="1:31" s="10" customFormat="1" ht="19.899999999999999" customHeight="1">
      <c r="B67" s="110"/>
      <c r="D67" s="111" t="s">
        <v>115</v>
      </c>
      <c r="E67" s="112"/>
      <c r="F67" s="112"/>
      <c r="G67" s="112"/>
      <c r="H67" s="112"/>
      <c r="I67" s="112"/>
      <c r="J67" s="113">
        <f>J253</f>
        <v>0</v>
      </c>
      <c r="L67" s="110"/>
    </row>
    <row r="68" spans="1:31" s="10" customFormat="1" ht="19.899999999999999" customHeight="1">
      <c r="B68" s="110"/>
      <c r="D68" s="111" t="s">
        <v>116</v>
      </c>
      <c r="E68" s="112"/>
      <c r="F68" s="112"/>
      <c r="G68" s="112"/>
      <c r="H68" s="112"/>
      <c r="I68" s="112"/>
      <c r="J68" s="276">
        <f>J285</f>
        <v>0</v>
      </c>
      <c r="L68" s="110"/>
    </row>
    <row r="69" spans="1:31" s="10" customFormat="1" ht="19.899999999999999" customHeight="1">
      <c r="B69" s="110"/>
      <c r="D69" s="111" t="s">
        <v>118</v>
      </c>
      <c r="E69" s="112"/>
      <c r="F69" s="112"/>
      <c r="G69" s="112"/>
      <c r="H69" s="112"/>
      <c r="I69" s="112"/>
      <c r="J69" s="276">
        <f>J354</f>
        <v>0</v>
      </c>
      <c r="L69" s="110"/>
    </row>
    <row r="70" spans="1:31" s="10" customFormat="1" ht="19.899999999999999" customHeight="1">
      <c r="B70" s="110"/>
      <c r="D70" s="111" t="s">
        <v>119</v>
      </c>
      <c r="E70" s="112"/>
      <c r="F70" s="112"/>
      <c r="G70" s="112"/>
      <c r="H70" s="112"/>
      <c r="I70" s="112"/>
      <c r="J70" s="113">
        <f>J418</f>
        <v>0</v>
      </c>
      <c r="L70" s="110"/>
    </row>
    <row r="71" spans="1:31" s="10" customFormat="1" ht="19.899999999999999" customHeight="1">
      <c r="B71" s="110"/>
      <c r="D71" s="111" t="s">
        <v>120</v>
      </c>
      <c r="E71" s="112"/>
      <c r="F71" s="112"/>
      <c r="G71" s="112"/>
      <c r="H71" s="112"/>
      <c r="I71" s="112"/>
      <c r="J71" s="276">
        <f>J460</f>
        <v>0</v>
      </c>
      <c r="L71" s="110"/>
    </row>
    <row r="72" spans="1:31" s="10" customFormat="1" ht="19.899999999999999" customHeight="1">
      <c r="B72" s="110"/>
      <c r="D72" s="111" t="s">
        <v>121</v>
      </c>
      <c r="E72" s="112"/>
      <c r="F72" s="112"/>
      <c r="G72" s="112"/>
      <c r="H72" s="112"/>
      <c r="I72" s="112"/>
      <c r="J72" s="113">
        <f>J545</f>
        <v>0</v>
      </c>
      <c r="L72" s="110"/>
    </row>
    <row r="73" spans="1:31" s="10" customFormat="1" ht="19.899999999999999" customHeight="1">
      <c r="B73" s="110"/>
      <c r="D73" s="111" t="s">
        <v>122</v>
      </c>
      <c r="E73" s="112"/>
      <c r="F73" s="112"/>
      <c r="G73" s="112"/>
      <c r="H73" s="112"/>
      <c r="I73" s="112"/>
      <c r="J73" s="113">
        <f>J566</f>
        <v>0</v>
      </c>
      <c r="L73" s="110"/>
    </row>
    <row r="74" spans="1:31" s="2" customFormat="1" ht="21.75" customHeight="1">
      <c r="A74" s="31"/>
      <c r="B74" s="32"/>
      <c r="C74" s="31"/>
      <c r="D74" s="31"/>
      <c r="E74" s="31"/>
      <c r="F74" s="31"/>
      <c r="G74" s="31"/>
      <c r="H74" s="31"/>
      <c r="I74" s="31"/>
      <c r="J74" s="31"/>
      <c r="K74" s="31"/>
      <c r="L74" s="89"/>
      <c r="S74" s="31"/>
      <c r="T74" s="31"/>
      <c r="U74" s="31"/>
      <c r="V74" s="31"/>
      <c r="W74" s="31"/>
      <c r="X74" s="31"/>
      <c r="Y74" s="31"/>
      <c r="Z74" s="31"/>
      <c r="AA74" s="31"/>
      <c r="AB74" s="31"/>
      <c r="AC74" s="31"/>
      <c r="AD74" s="31"/>
      <c r="AE74" s="31"/>
    </row>
    <row r="75" spans="1:31" s="2" customFormat="1" ht="6.95" customHeight="1">
      <c r="A75" s="31"/>
      <c r="B75" s="41"/>
      <c r="C75" s="42"/>
      <c r="D75" s="42"/>
      <c r="E75" s="42"/>
      <c r="F75" s="42"/>
      <c r="G75" s="42"/>
      <c r="H75" s="42"/>
      <c r="I75" s="42"/>
      <c r="J75" s="42"/>
      <c r="K75" s="42"/>
      <c r="L75" s="89"/>
      <c r="S75" s="31"/>
      <c r="T75" s="31"/>
      <c r="U75" s="31"/>
      <c r="V75" s="31"/>
      <c r="W75" s="31"/>
      <c r="X75" s="31"/>
      <c r="Y75" s="31"/>
      <c r="Z75" s="31"/>
      <c r="AA75" s="31"/>
      <c r="AB75" s="31"/>
      <c r="AC75" s="31"/>
      <c r="AD75" s="31"/>
      <c r="AE75" s="31"/>
    </row>
    <row r="79" spans="1:31" s="2" customFormat="1" ht="6.95" customHeight="1">
      <c r="A79" s="31"/>
      <c r="B79" s="43"/>
      <c r="C79" s="44"/>
      <c r="D79" s="44"/>
      <c r="E79" s="44"/>
      <c r="F79" s="44"/>
      <c r="G79" s="44"/>
      <c r="H79" s="44"/>
      <c r="I79" s="44"/>
      <c r="J79" s="44"/>
      <c r="K79" s="44"/>
      <c r="L79" s="89"/>
      <c r="S79" s="31"/>
      <c r="T79" s="31"/>
      <c r="U79" s="31"/>
      <c r="V79" s="31"/>
      <c r="W79" s="31"/>
      <c r="X79" s="31"/>
      <c r="Y79" s="31"/>
      <c r="Z79" s="31"/>
      <c r="AA79" s="31"/>
      <c r="AB79" s="31"/>
      <c r="AC79" s="31"/>
      <c r="AD79" s="31"/>
      <c r="AE79" s="31"/>
    </row>
    <row r="80" spans="1:31" s="2" customFormat="1" ht="24.95" customHeight="1">
      <c r="A80" s="31"/>
      <c r="B80" s="32"/>
      <c r="C80" s="23" t="s">
        <v>123</v>
      </c>
      <c r="D80" s="31"/>
      <c r="E80" s="31"/>
      <c r="F80" s="31"/>
      <c r="G80" s="31"/>
      <c r="H80" s="31"/>
      <c r="I80" s="31"/>
      <c r="J80" s="31"/>
      <c r="K80" s="31"/>
      <c r="L80" s="89"/>
      <c r="S80" s="31"/>
      <c r="T80" s="31"/>
      <c r="U80" s="31"/>
      <c r="V80" s="31"/>
      <c r="W80" s="31"/>
      <c r="X80" s="31"/>
      <c r="Y80" s="31"/>
      <c r="Z80" s="31"/>
      <c r="AA80" s="31"/>
      <c r="AB80" s="31"/>
      <c r="AC80" s="31"/>
      <c r="AD80" s="31"/>
      <c r="AE80" s="31"/>
    </row>
    <row r="81" spans="1:65" s="2" customFormat="1" ht="6.95" customHeight="1">
      <c r="A81" s="31"/>
      <c r="B81" s="32"/>
      <c r="C81" s="31"/>
      <c r="D81" s="31"/>
      <c r="E81" s="31"/>
      <c r="F81" s="31"/>
      <c r="G81" s="31"/>
      <c r="H81" s="31"/>
      <c r="I81" s="31"/>
      <c r="J81" s="31"/>
      <c r="K81" s="31"/>
      <c r="L81" s="89"/>
      <c r="S81" s="31"/>
      <c r="T81" s="31"/>
      <c r="U81" s="31"/>
      <c r="V81" s="31"/>
      <c r="W81" s="31"/>
      <c r="X81" s="31"/>
      <c r="Y81" s="31"/>
      <c r="Z81" s="31"/>
      <c r="AA81" s="31"/>
      <c r="AB81" s="31"/>
      <c r="AC81" s="31"/>
      <c r="AD81" s="31"/>
      <c r="AE81" s="31"/>
    </row>
    <row r="82" spans="1:65" s="2" customFormat="1" ht="12" customHeight="1">
      <c r="A82" s="31"/>
      <c r="B82" s="32"/>
      <c r="C82" s="28" t="s">
        <v>14</v>
      </c>
      <c r="D82" s="31"/>
      <c r="E82" s="31"/>
      <c r="F82" s="31"/>
      <c r="G82" s="31"/>
      <c r="H82" s="31"/>
      <c r="I82" s="31"/>
      <c r="J82" s="31"/>
      <c r="K82" s="31"/>
      <c r="L82" s="89"/>
      <c r="S82" s="31"/>
      <c r="T82" s="31"/>
      <c r="U82" s="31"/>
      <c r="V82" s="31"/>
      <c r="W82" s="31"/>
      <c r="X82" s="31"/>
      <c r="Y82" s="31"/>
      <c r="Z82" s="31"/>
      <c r="AA82" s="31"/>
      <c r="AB82" s="31"/>
      <c r="AC82" s="31"/>
      <c r="AD82" s="31"/>
      <c r="AE82" s="31"/>
    </row>
    <row r="83" spans="1:65" s="2" customFormat="1" ht="23.25" customHeight="1">
      <c r="A83" s="31"/>
      <c r="B83" s="32"/>
      <c r="C83" s="31"/>
      <c r="D83" s="31"/>
      <c r="E83" s="358" t="str">
        <f>E7</f>
        <v>Rekonstrukce objektu vrátnice a areálu Nemocnice Nymburk s.r.o. , objekt na č.parc. 323, k.ú. Nymburk</v>
      </c>
      <c r="F83" s="359"/>
      <c r="G83" s="359"/>
      <c r="H83" s="359"/>
      <c r="I83" s="31"/>
      <c r="J83" s="31"/>
      <c r="K83" s="31"/>
      <c r="L83" s="89"/>
      <c r="S83" s="31"/>
      <c r="T83" s="31"/>
      <c r="U83" s="31"/>
      <c r="V83" s="31"/>
      <c r="W83" s="31"/>
      <c r="X83" s="31"/>
      <c r="Y83" s="31"/>
      <c r="Z83" s="31"/>
      <c r="AA83" s="31"/>
      <c r="AB83" s="31"/>
      <c r="AC83" s="31"/>
      <c r="AD83" s="31"/>
      <c r="AE83" s="31"/>
    </row>
    <row r="84" spans="1:65" s="2" customFormat="1" ht="12" customHeight="1">
      <c r="A84" s="31"/>
      <c r="B84" s="32"/>
      <c r="C84" s="28" t="s">
        <v>102</v>
      </c>
      <c r="D84" s="31"/>
      <c r="E84" s="31"/>
      <c r="F84" s="31"/>
      <c r="G84" s="31"/>
      <c r="H84" s="31"/>
      <c r="I84" s="31"/>
      <c r="J84" s="31"/>
      <c r="K84" s="31"/>
      <c r="L84" s="89"/>
      <c r="S84" s="31"/>
      <c r="T84" s="31"/>
      <c r="U84" s="31"/>
      <c r="V84" s="31"/>
      <c r="W84" s="31"/>
      <c r="X84" s="31"/>
      <c r="Y84" s="31"/>
      <c r="Z84" s="31"/>
      <c r="AA84" s="31"/>
      <c r="AB84" s="31"/>
      <c r="AC84" s="31"/>
      <c r="AD84" s="31"/>
      <c r="AE84" s="31"/>
    </row>
    <row r="85" spans="1:65" s="2" customFormat="1" ht="16.5" customHeight="1">
      <c r="A85" s="31"/>
      <c r="B85" s="32"/>
      <c r="C85" s="31"/>
      <c r="D85" s="31"/>
      <c r="E85" s="324" t="str">
        <f>E9</f>
        <v>01 - Stavební část</v>
      </c>
      <c r="F85" s="357"/>
      <c r="G85" s="357"/>
      <c r="H85" s="357"/>
      <c r="I85" s="31"/>
      <c r="J85" s="31"/>
      <c r="K85" s="31"/>
      <c r="L85" s="89"/>
      <c r="S85" s="31"/>
      <c r="T85" s="31"/>
      <c r="U85" s="31"/>
      <c r="V85" s="31"/>
      <c r="W85" s="31"/>
      <c r="X85" s="31"/>
      <c r="Y85" s="31"/>
      <c r="Z85" s="31"/>
      <c r="AA85" s="31"/>
      <c r="AB85" s="31"/>
      <c r="AC85" s="31"/>
      <c r="AD85" s="31"/>
      <c r="AE85" s="31"/>
    </row>
    <row r="86" spans="1:65" s="2" customFormat="1" ht="6.95" customHeight="1">
      <c r="A86" s="31"/>
      <c r="B86" s="32"/>
      <c r="C86" s="31"/>
      <c r="D86" s="31"/>
      <c r="E86" s="31"/>
      <c r="F86" s="31"/>
      <c r="G86" s="31"/>
      <c r="H86" s="31"/>
      <c r="I86" s="31"/>
      <c r="J86" s="31"/>
      <c r="K86" s="31"/>
      <c r="L86" s="89"/>
      <c r="S86" s="31"/>
      <c r="T86" s="31"/>
      <c r="U86" s="31"/>
      <c r="V86" s="31"/>
      <c r="W86" s="31"/>
      <c r="X86" s="31"/>
      <c r="Y86" s="31"/>
      <c r="Z86" s="31"/>
      <c r="AA86" s="31"/>
      <c r="AB86" s="31"/>
      <c r="AC86" s="31"/>
      <c r="AD86" s="31"/>
      <c r="AE86" s="31"/>
    </row>
    <row r="87" spans="1:65" s="2" customFormat="1" ht="12" customHeight="1">
      <c r="A87" s="31"/>
      <c r="B87" s="32"/>
      <c r="C87" s="28" t="s">
        <v>19</v>
      </c>
      <c r="D87" s="31"/>
      <c r="E87" s="31"/>
      <c r="F87" s="26" t="str">
        <f>F12</f>
        <v>Nymburk</v>
      </c>
      <c r="G87" s="31"/>
      <c r="H87" s="31"/>
      <c r="I87" s="28" t="s">
        <v>21</v>
      </c>
      <c r="J87" s="49">
        <f>IF(J12="","",J12)</f>
        <v>44144</v>
      </c>
      <c r="K87" s="31"/>
      <c r="L87" s="89"/>
      <c r="S87" s="31"/>
      <c r="T87" s="31"/>
      <c r="U87" s="31"/>
      <c r="V87" s="31"/>
      <c r="W87" s="31"/>
      <c r="X87" s="31"/>
      <c r="Y87" s="31"/>
      <c r="Z87" s="31"/>
      <c r="AA87" s="31"/>
      <c r="AB87" s="31"/>
      <c r="AC87" s="31"/>
      <c r="AD87" s="31"/>
      <c r="AE87" s="31"/>
    </row>
    <row r="88" spans="1:65" s="2" customFormat="1" ht="6.95" customHeight="1">
      <c r="A88" s="31"/>
      <c r="B88" s="32"/>
      <c r="C88" s="31"/>
      <c r="D88" s="31"/>
      <c r="E88" s="31"/>
      <c r="F88" s="31"/>
      <c r="G88" s="31"/>
      <c r="H88" s="31"/>
      <c r="I88" s="31"/>
      <c r="J88" s="31"/>
      <c r="K88" s="31"/>
      <c r="L88" s="89"/>
      <c r="S88" s="31"/>
      <c r="T88" s="31"/>
      <c r="U88" s="31"/>
      <c r="V88" s="31"/>
      <c r="W88" s="31"/>
      <c r="X88" s="31"/>
      <c r="Y88" s="31"/>
      <c r="Z88" s="31"/>
      <c r="AA88" s="31"/>
      <c r="AB88" s="31"/>
      <c r="AC88" s="31"/>
      <c r="AD88" s="31"/>
      <c r="AE88" s="31"/>
    </row>
    <row r="89" spans="1:65" s="2" customFormat="1" ht="25.7" customHeight="1">
      <c r="A89" s="31"/>
      <c r="B89" s="32"/>
      <c r="C89" s="28" t="s">
        <v>22</v>
      </c>
      <c r="D89" s="31"/>
      <c r="E89" s="31"/>
      <c r="F89" s="26" t="str">
        <f>E15</f>
        <v>Nemocnice Nymburk s.r.o.</v>
      </c>
      <c r="G89" s="31"/>
      <c r="H89" s="31"/>
      <c r="I89" s="28" t="s">
        <v>30</v>
      </c>
      <c r="J89" s="29" t="str">
        <f>E21</f>
        <v>Ing. arch. Pavel Petrák</v>
      </c>
      <c r="K89" s="31"/>
      <c r="L89" s="89"/>
      <c r="S89" s="31"/>
      <c r="T89" s="31"/>
      <c r="U89" s="31"/>
      <c r="V89" s="31"/>
      <c r="W89" s="31"/>
      <c r="X89" s="31"/>
      <c r="Y89" s="31"/>
      <c r="Z89" s="31"/>
      <c r="AA89" s="31"/>
      <c r="AB89" s="31"/>
      <c r="AC89" s="31"/>
      <c r="AD89" s="31"/>
      <c r="AE89" s="31"/>
    </row>
    <row r="90" spans="1:65" s="2" customFormat="1" ht="15.2" customHeight="1">
      <c r="A90" s="31"/>
      <c r="B90" s="32"/>
      <c r="C90" s="28" t="s">
        <v>28</v>
      </c>
      <c r="D90" s="31"/>
      <c r="E90" s="31"/>
      <c r="F90" s="26" t="str">
        <f>IF(E18="","",E18)</f>
        <v xml:space="preserve"> </v>
      </c>
      <c r="G90" s="31"/>
      <c r="H90" s="31"/>
      <c r="I90" s="28" t="s">
        <v>35</v>
      </c>
      <c r="J90" s="29" t="str">
        <f>E24</f>
        <v xml:space="preserve"> </v>
      </c>
      <c r="K90" s="31"/>
      <c r="L90" s="89"/>
      <c r="S90" s="31"/>
      <c r="T90" s="31"/>
      <c r="U90" s="31"/>
      <c r="V90" s="31"/>
      <c r="W90" s="31"/>
      <c r="X90" s="31"/>
      <c r="Y90" s="31"/>
      <c r="Z90" s="31"/>
      <c r="AA90" s="31"/>
      <c r="AB90" s="31"/>
      <c r="AC90" s="31"/>
      <c r="AD90" s="31"/>
      <c r="AE90" s="31"/>
    </row>
    <row r="91" spans="1:65" s="2" customFormat="1" ht="10.35" customHeight="1">
      <c r="A91" s="31"/>
      <c r="B91" s="32"/>
      <c r="C91" s="31"/>
      <c r="D91" s="31"/>
      <c r="E91" s="31"/>
      <c r="F91" s="31"/>
      <c r="G91" s="31"/>
      <c r="H91" s="31"/>
      <c r="I91" s="31"/>
      <c r="J91" s="31"/>
      <c r="K91" s="31"/>
      <c r="L91" s="89"/>
      <c r="S91" s="31"/>
      <c r="T91" s="31"/>
      <c r="U91" s="31"/>
      <c r="V91" s="31"/>
      <c r="W91" s="31"/>
      <c r="X91" s="31"/>
      <c r="Y91" s="31"/>
      <c r="Z91" s="31"/>
      <c r="AA91" s="31"/>
      <c r="AB91" s="31"/>
      <c r="AC91" s="31"/>
      <c r="AD91" s="31"/>
      <c r="AE91" s="31"/>
    </row>
    <row r="92" spans="1:65" s="11" customFormat="1" ht="29.25" customHeight="1">
      <c r="A92" s="114"/>
      <c r="B92" s="115"/>
      <c r="C92" s="116" t="s">
        <v>124</v>
      </c>
      <c r="D92" s="117" t="s">
        <v>57</v>
      </c>
      <c r="E92" s="117" t="s">
        <v>53</v>
      </c>
      <c r="F92" s="117" t="s">
        <v>54</v>
      </c>
      <c r="G92" s="117" t="s">
        <v>125</v>
      </c>
      <c r="H92" s="117" t="s">
        <v>126</v>
      </c>
      <c r="I92" s="117" t="s">
        <v>127</v>
      </c>
      <c r="J92" s="117" t="s">
        <v>106</v>
      </c>
      <c r="K92" s="118" t="s">
        <v>128</v>
      </c>
      <c r="L92" s="119"/>
      <c r="M92" s="56" t="s">
        <v>3</v>
      </c>
      <c r="N92" s="57" t="s">
        <v>42</v>
      </c>
      <c r="O92" s="57" t="s">
        <v>129</v>
      </c>
      <c r="P92" s="57" t="s">
        <v>130</v>
      </c>
      <c r="Q92" s="57" t="s">
        <v>131</v>
      </c>
      <c r="R92" s="57" t="s">
        <v>132</v>
      </c>
      <c r="S92" s="57" t="s">
        <v>133</v>
      </c>
      <c r="T92" s="58" t="s">
        <v>134</v>
      </c>
      <c r="U92" s="114"/>
      <c r="V92" s="114"/>
      <c r="W92" s="114"/>
      <c r="X92" s="114"/>
      <c r="Y92" s="114"/>
      <c r="Z92" s="114"/>
      <c r="AA92" s="114"/>
      <c r="AB92" s="114"/>
      <c r="AC92" s="114"/>
      <c r="AD92" s="114"/>
      <c r="AE92" s="114"/>
    </row>
    <row r="93" spans="1:65" s="2" customFormat="1" ht="22.9" customHeight="1">
      <c r="A93" s="31"/>
      <c r="B93" s="32"/>
      <c r="C93" s="63" t="s">
        <v>135</v>
      </c>
      <c r="D93" s="31"/>
      <c r="E93" s="31"/>
      <c r="F93" s="31"/>
      <c r="G93" s="31"/>
      <c r="H93" s="31"/>
      <c r="I93" s="31"/>
      <c r="J93" s="120">
        <f>J94+J252</f>
        <v>0</v>
      </c>
      <c r="K93" s="31"/>
      <c r="L93" s="32"/>
      <c r="M93" s="59"/>
      <c r="N93" s="50"/>
      <c r="O93" s="60"/>
      <c r="P93" s="121" t="e">
        <f>P94+P252</f>
        <v>#REF!</v>
      </c>
      <c r="Q93" s="60"/>
      <c r="R93" s="121" t="e">
        <f>R94+R252</f>
        <v>#REF!</v>
      </c>
      <c r="S93" s="60"/>
      <c r="T93" s="122" t="e">
        <f>T94+T252</f>
        <v>#REF!</v>
      </c>
      <c r="U93" s="31"/>
      <c r="V93" s="31"/>
      <c r="W93" s="31"/>
      <c r="X93" s="31"/>
      <c r="Y93" s="31"/>
      <c r="Z93" s="31"/>
      <c r="AA93" s="31"/>
      <c r="AB93" s="31"/>
      <c r="AC93" s="31"/>
      <c r="AD93" s="31"/>
      <c r="AE93" s="31"/>
      <c r="AT93" s="19" t="s">
        <v>71</v>
      </c>
      <c r="AU93" s="19" t="s">
        <v>107</v>
      </c>
      <c r="BK93" s="123" t="e">
        <f>BK94+BK252</f>
        <v>#REF!</v>
      </c>
    </row>
    <row r="94" spans="1:65" s="12" customFormat="1" ht="25.9" customHeight="1">
      <c r="B94" s="124"/>
      <c r="D94" s="125" t="s">
        <v>71</v>
      </c>
      <c r="E94" s="126" t="s">
        <v>136</v>
      </c>
      <c r="F94" s="126" t="s">
        <v>137</v>
      </c>
      <c r="J94" s="127">
        <f>BK94</f>
        <v>0</v>
      </c>
      <c r="L94" s="124"/>
      <c r="M94" s="128"/>
      <c r="N94" s="129"/>
      <c r="O94" s="129"/>
      <c r="P94" s="130">
        <f>P95+P158+P184+P236+P249</f>
        <v>406.12084856666667</v>
      </c>
      <c r="Q94" s="129"/>
      <c r="R94" s="130">
        <f>R95+R158+R184+R236+R249</f>
        <v>6.0666366253200001</v>
      </c>
      <c r="S94" s="129"/>
      <c r="T94" s="131">
        <f>T95+T158+T184+T236+T249</f>
        <v>16.616494600000003</v>
      </c>
      <c r="AR94" s="125" t="s">
        <v>80</v>
      </c>
      <c r="AT94" s="132" t="s">
        <v>71</v>
      </c>
      <c r="AU94" s="132" t="s">
        <v>72</v>
      </c>
      <c r="AY94" s="125" t="s">
        <v>138</v>
      </c>
      <c r="BK94" s="133">
        <f>BK95+BK158+BK184+BK236+BK249</f>
        <v>0</v>
      </c>
    </row>
    <row r="95" spans="1:65" s="12" customFormat="1" ht="22.9" customHeight="1">
      <c r="B95" s="124"/>
      <c r="D95" s="125" t="s">
        <v>71</v>
      </c>
      <c r="E95" s="134" t="s">
        <v>139</v>
      </c>
      <c r="F95" s="134" t="s">
        <v>140</v>
      </c>
      <c r="J95" s="135">
        <f>BK95</f>
        <v>0</v>
      </c>
      <c r="L95" s="124"/>
      <c r="M95" s="128"/>
      <c r="N95" s="129"/>
      <c r="O95" s="129"/>
      <c r="P95" s="130">
        <f>SUM(P102:P157)</f>
        <v>37.939129900000005</v>
      </c>
      <c r="Q95" s="129"/>
      <c r="R95" s="130">
        <f>SUM(R102:R157)</f>
        <v>3.17076322532</v>
      </c>
      <c r="S95" s="129"/>
      <c r="T95" s="131">
        <f>SUM(T102:T157)</f>
        <v>0</v>
      </c>
      <c r="AR95" s="125" t="s">
        <v>80</v>
      </c>
      <c r="AT95" s="132" t="s">
        <v>71</v>
      </c>
      <c r="AU95" s="132" t="s">
        <v>80</v>
      </c>
      <c r="AY95" s="125" t="s">
        <v>138</v>
      </c>
      <c r="BK95" s="133">
        <f>SUM(BK102:BK157)</f>
        <v>0</v>
      </c>
    </row>
    <row r="96" spans="1:65" s="2" customFormat="1" ht="37.9" customHeight="1">
      <c r="B96" s="301"/>
      <c r="C96" s="137">
        <v>1</v>
      </c>
      <c r="D96" s="137" t="s">
        <v>141</v>
      </c>
      <c r="E96" s="138" t="s">
        <v>1404</v>
      </c>
      <c r="F96" s="139" t="s">
        <v>1405</v>
      </c>
      <c r="G96" s="140" t="s">
        <v>147</v>
      </c>
      <c r="H96" s="141">
        <f>H101</f>
        <v>5</v>
      </c>
      <c r="I96" s="142"/>
      <c r="J96" s="142">
        <f>ROUND(I96*H96,2)</f>
        <v>0</v>
      </c>
      <c r="K96" s="139" t="s">
        <v>148</v>
      </c>
      <c r="L96" s="89"/>
      <c r="M96" s="143" t="s">
        <v>3</v>
      </c>
      <c r="N96" s="302" t="s">
        <v>43</v>
      </c>
      <c r="O96" s="303">
        <v>0.192</v>
      </c>
      <c r="P96" s="303">
        <f>O96*H96</f>
        <v>0.96</v>
      </c>
      <c r="Q96" s="303">
        <v>2.6280000000000001E-2</v>
      </c>
      <c r="R96" s="303">
        <f>Q96*H96</f>
        <v>0.13140000000000002</v>
      </c>
      <c r="S96" s="303">
        <v>0</v>
      </c>
      <c r="T96" s="146">
        <f>S96*H96</f>
        <v>0</v>
      </c>
      <c r="AR96" s="147" t="s">
        <v>144</v>
      </c>
      <c r="AT96" s="147" t="s">
        <v>141</v>
      </c>
      <c r="AU96" s="147" t="s">
        <v>82</v>
      </c>
      <c r="AY96" s="304" t="s">
        <v>138</v>
      </c>
      <c r="BE96" s="305">
        <f>IF(N96="základní",J96,0)</f>
        <v>0</v>
      </c>
      <c r="BF96" s="305">
        <f>IF(N96="snížená",J96,0)</f>
        <v>0</v>
      </c>
      <c r="BG96" s="305">
        <f>IF(N96="zákl. přenesená",J96,0)</f>
        <v>0</v>
      </c>
      <c r="BH96" s="305">
        <f>IF(N96="sníž. přenesená",J96,0)</f>
        <v>0</v>
      </c>
      <c r="BI96" s="305">
        <f>IF(N96="nulová",J96,0)</f>
        <v>0</v>
      </c>
      <c r="BJ96" s="304" t="s">
        <v>80</v>
      </c>
      <c r="BK96" s="305">
        <f>ROUND(I96*H96,2)</f>
        <v>0</v>
      </c>
      <c r="BL96" s="304" t="s">
        <v>144</v>
      </c>
      <c r="BM96" s="147" t="s">
        <v>1406</v>
      </c>
    </row>
    <row r="97" spans="1:65" s="2" customFormat="1" ht="39">
      <c r="B97" s="89"/>
      <c r="D97" s="150" t="s">
        <v>149</v>
      </c>
      <c r="F97" s="163" t="s">
        <v>1407</v>
      </c>
      <c r="L97" s="89"/>
      <c r="M97" s="314"/>
      <c r="N97" s="315"/>
      <c r="O97" s="315"/>
      <c r="P97" s="315"/>
      <c r="Q97" s="315"/>
      <c r="R97" s="315"/>
      <c r="S97" s="315"/>
      <c r="T97" s="316"/>
      <c r="AT97" s="304" t="s">
        <v>149</v>
      </c>
      <c r="AU97" s="304" t="s">
        <v>82</v>
      </c>
    </row>
    <row r="98" spans="1:65" s="13" customFormat="1" ht="22.5">
      <c r="B98" s="149"/>
      <c r="D98" s="150" t="s">
        <v>145</v>
      </c>
      <c r="E98" s="151" t="s">
        <v>3</v>
      </c>
      <c r="F98" s="152" t="s">
        <v>1409</v>
      </c>
      <c r="H98" s="151" t="s">
        <v>3</v>
      </c>
      <c r="L98" s="149"/>
      <c r="M98" s="153"/>
      <c r="N98" s="306"/>
      <c r="O98" s="306"/>
      <c r="P98" s="306"/>
      <c r="Q98" s="306"/>
      <c r="R98" s="306"/>
      <c r="S98" s="306"/>
      <c r="T98" s="155"/>
      <c r="AT98" s="151" t="s">
        <v>145</v>
      </c>
      <c r="AU98" s="151" t="s">
        <v>82</v>
      </c>
      <c r="AV98" s="13" t="s">
        <v>80</v>
      </c>
      <c r="AW98" s="13" t="s">
        <v>34</v>
      </c>
      <c r="AX98" s="13" t="s">
        <v>72</v>
      </c>
      <c r="AY98" s="151" t="s">
        <v>138</v>
      </c>
    </row>
    <row r="99" spans="1:65" s="14" customFormat="1">
      <c r="B99" s="156"/>
      <c r="D99" s="150" t="s">
        <v>145</v>
      </c>
      <c r="E99" s="157" t="s">
        <v>3</v>
      </c>
      <c r="F99" s="158">
        <v>4</v>
      </c>
      <c r="H99" s="159">
        <v>4</v>
      </c>
      <c r="L99" s="156"/>
      <c r="M99" s="160"/>
      <c r="N99" s="307"/>
      <c r="O99" s="307"/>
      <c r="P99" s="307"/>
      <c r="Q99" s="307"/>
      <c r="R99" s="307"/>
      <c r="S99" s="307"/>
      <c r="T99" s="162"/>
      <c r="AT99" s="157" t="s">
        <v>145</v>
      </c>
      <c r="AU99" s="157" t="s">
        <v>82</v>
      </c>
      <c r="AV99" s="14" t="s">
        <v>82</v>
      </c>
      <c r="AW99" s="14" t="s">
        <v>34</v>
      </c>
      <c r="AX99" s="14" t="s">
        <v>72</v>
      </c>
      <c r="AY99" s="157" t="s">
        <v>138</v>
      </c>
    </row>
    <row r="100" spans="1:65" s="14" customFormat="1">
      <c r="B100" s="156"/>
      <c r="D100" s="150" t="s">
        <v>145</v>
      </c>
      <c r="E100" s="157" t="s">
        <v>3</v>
      </c>
      <c r="F100" s="158">
        <v>1</v>
      </c>
      <c r="H100" s="159">
        <v>1</v>
      </c>
      <c r="L100" s="156"/>
      <c r="M100" s="160"/>
      <c r="N100" s="307"/>
      <c r="O100" s="307"/>
      <c r="P100" s="307"/>
      <c r="Q100" s="307"/>
      <c r="R100" s="307"/>
      <c r="S100" s="307"/>
      <c r="T100" s="162"/>
      <c r="AT100" s="157" t="s">
        <v>145</v>
      </c>
      <c r="AU100" s="157" t="s">
        <v>82</v>
      </c>
      <c r="AV100" s="14" t="s">
        <v>82</v>
      </c>
      <c r="AW100" s="14" t="s">
        <v>34</v>
      </c>
      <c r="AX100" s="14" t="s">
        <v>72</v>
      </c>
      <c r="AY100" s="157" t="s">
        <v>138</v>
      </c>
    </row>
    <row r="101" spans="1:65" s="15" customFormat="1">
      <c r="B101" s="166"/>
      <c r="D101" s="150" t="s">
        <v>145</v>
      </c>
      <c r="E101" s="167" t="s">
        <v>3</v>
      </c>
      <c r="F101" s="168" t="s">
        <v>151</v>
      </c>
      <c r="H101" s="169">
        <v>5</v>
      </c>
      <c r="L101" s="166"/>
      <c r="M101" s="170"/>
      <c r="N101" s="320"/>
      <c r="O101" s="320"/>
      <c r="P101" s="320"/>
      <c r="Q101" s="320"/>
      <c r="R101" s="320"/>
      <c r="S101" s="320"/>
      <c r="T101" s="172"/>
      <c r="AT101" s="167" t="s">
        <v>145</v>
      </c>
      <c r="AU101" s="167" t="s">
        <v>82</v>
      </c>
      <c r="AV101" s="15" t="s">
        <v>144</v>
      </c>
      <c r="AW101" s="15" t="s">
        <v>34</v>
      </c>
      <c r="AX101" s="15" t="s">
        <v>80</v>
      </c>
      <c r="AY101" s="167" t="s">
        <v>138</v>
      </c>
    </row>
    <row r="102" spans="1:65" s="2" customFormat="1" ht="24.2" customHeight="1">
      <c r="A102" s="31"/>
      <c r="B102" s="136"/>
      <c r="C102" s="137">
        <v>2</v>
      </c>
      <c r="D102" s="137" t="s">
        <v>141</v>
      </c>
      <c r="E102" s="138" t="s">
        <v>152</v>
      </c>
      <c r="F102" s="139" t="s">
        <v>153</v>
      </c>
      <c r="G102" s="140" t="s">
        <v>142</v>
      </c>
      <c r="H102" s="141">
        <f>H108</f>
        <v>5.9000000000000011E-2</v>
      </c>
      <c r="I102" s="142"/>
      <c r="J102" s="142">
        <f>ROUND(I102*H102,2)</f>
        <v>0</v>
      </c>
      <c r="K102" s="139" t="s">
        <v>148</v>
      </c>
      <c r="L102" s="32"/>
      <c r="M102" s="143" t="s">
        <v>3</v>
      </c>
      <c r="N102" s="144" t="s">
        <v>43</v>
      </c>
      <c r="O102" s="145">
        <v>6.77</v>
      </c>
      <c r="P102" s="145">
        <f>O102*H102</f>
        <v>0.39943000000000006</v>
      </c>
      <c r="Q102" s="145">
        <v>1.94302</v>
      </c>
      <c r="R102" s="145">
        <f>Q102*H102</f>
        <v>0.11463818000000002</v>
      </c>
      <c r="S102" s="145">
        <v>0</v>
      </c>
      <c r="T102" s="146">
        <f>S102*H102</f>
        <v>0</v>
      </c>
      <c r="U102" s="31"/>
      <c r="V102" s="31"/>
      <c r="W102" s="31"/>
      <c r="X102" s="31"/>
      <c r="Y102" s="31"/>
      <c r="Z102" s="31"/>
      <c r="AA102" s="31"/>
      <c r="AB102" s="31"/>
      <c r="AC102" s="31"/>
      <c r="AD102" s="31"/>
      <c r="AE102" s="31"/>
      <c r="AR102" s="147" t="s">
        <v>144</v>
      </c>
      <c r="AT102" s="147" t="s">
        <v>141</v>
      </c>
      <c r="AU102" s="147" t="s">
        <v>82</v>
      </c>
      <c r="AY102" s="19" t="s">
        <v>138</v>
      </c>
      <c r="BE102" s="148">
        <f>IF(N102="základní",J102,0)</f>
        <v>0</v>
      </c>
      <c r="BF102" s="148">
        <f>IF(N102="snížená",J102,0)</f>
        <v>0</v>
      </c>
      <c r="BG102" s="148">
        <f>IF(N102="zákl. přenesená",J102,0)</f>
        <v>0</v>
      </c>
      <c r="BH102" s="148">
        <f>IF(N102="sníž. přenesená",J102,0)</f>
        <v>0</v>
      </c>
      <c r="BI102" s="148">
        <f>IF(N102="nulová",J102,0)</f>
        <v>0</v>
      </c>
      <c r="BJ102" s="19" t="s">
        <v>80</v>
      </c>
      <c r="BK102" s="148">
        <f>ROUND(I102*H102,2)</f>
        <v>0</v>
      </c>
      <c r="BL102" s="19" t="s">
        <v>144</v>
      </c>
      <c r="BM102" s="147" t="s">
        <v>154</v>
      </c>
    </row>
    <row r="103" spans="1:65" s="2" customFormat="1" ht="97.5">
      <c r="A103" s="31"/>
      <c r="B103" s="32"/>
      <c r="C103" s="31"/>
      <c r="D103" s="150" t="s">
        <v>149</v>
      </c>
      <c r="E103" s="31"/>
      <c r="F103" s="163" t="s">
        <v>155</v>
      </c>
      <c r="G103" s="31"/>
      <c r="H103" s="31"/>
      <c r="I103" s="31"/>
      <c r="J103" s="31"/>
      <c r="K103" s="31"/>
      <c r="L103" s="32"/>
      <c r="M103" s="164"/>
      <c r="N103" s="165"/>
      <c r="O103" s="52"/>
      <c r="P103" s="52"/>
      <c r="Q103" s="52"/>
      <c r="R103" s="52"/>
      <c r="S103" s="52"/>
      <c r="T103" s="53"/>
      <c r="U103" s="31"/>
      <c r="V103" s="31"/>
      <c r="W103" s="31"/>
      <c r="X103" s="31"/>
      <c r="Y103" s="31"/>
      <c r="Z103" s="31"/>
      <c r="AA103" s="31"/>
      <c r="AB103" s="31"/>
      <c r="AC103" s="31"/>
      <c r="AD103" s="31"/>
      <c r="AE103" s="31"/>
      <c r="AT103" s="19" t="s">
        <v>149</v>
      </c>
      <c r="AU103" s="19" t="s">
        <v>82</v>
      </c>
    </row>
    <row r="104" spans="1:65" s="13" customFormat="1" ht="22.5">
      <c r="B104" s="149"/>
      <c r="D104" s="150" t="s">
        <v>145</v>
      </c>
      <c r="E104" s="151" t="s">
        <v>3</v>
      </c>
      <c r="F104" s="152" t="s">
        <v>150</v>
      </c>
      <c r="H104" s="151" t="s">
        <v>3</v>
      </c>
      <c r="L104" s="149"/>
      <c r="M104" s="153"/>
      <c r="N104" s="154"/>
      <c r="O104" s="154"/>
      <c r="P104" s="154"/>
      <c r="Q104" s="154"/>
      <c r="R104" s="154"/>
      <c r="S104" s="154"/>
      <c r="T104" s="155"/>
      <c r="AT104" s="151" t="s">
        <v>145</v>
      </c>
      <c r="AU104" s="151" t="s">
        <v>82</v>
      </c>
      <c r="AV104" s="13" t="s">
        <v>80</v>
      </c>
      <c r="AW104" s="13" t="s">
        <v>34</v>
      </c>
      <c r="AX104" s="13" t="s">
        <v>72</v>
      </c>
      <c r="AY104" s="151" t="s">
        <v>138</v>
      </c>
    </row>
    <row r="105" spans="1:65" s="14" customFormat="1">
      <c r="B105" s="156"/>
      <c r="D105" s="150" t="s">
        <v>145</v>
      </c>
      <c r="E105" s="157" t="s">
        <v>3</v>
      </c>
      <c r="F105" s="158" t="s">
        <v>1408</v>
      </c>
      <c r="H105" s="159">
        <f>1*1.2*0.15*0.1</f>
        <v>1.7999999999999999E-2</v>
      </c>
      <c r="L105" s="156"/>
      <c r="M105" s="160"/>
      <c r="N105" s="161"/>
      <c r="O105" s="161"/>
      <c r="P105" s="161"/>
      <c r="Q105" s="161"/>
      <c r="R105" s="161"/>
      <c r="S105" s="161"/>
      <c r="T105" s="162"/>
      <c r="AT105" s="157" t="s">
        <v>145</v>
      </c>
      <c r="AU105" s="157" t="s">
        <v>82</v>
      </c>
      <c r="AV105" s="14" t="s">
        <v>82</v>
      </c>
      <c r="AW105" s="14" t="s">
        <v>34</v>
      </c>
      <c r="AX105" s="14" t="s">
        <v>72</v>
      </c>
      <c r="AY105" s="157" t="s">
        <v>138</v>
      </c>
    </row>
    <row r="106" spans="1:65" s="14" customFormat="1">
      <c r="B106" s="156"/>
      <c r="D106" s="150" t="s">
        <v>145</v>
      </c>
      <c r="E106" s="157" t="s">
        <v>3</v>
      </c>
      <c r="F106" s="158" t="s">
        <v>1410</v>
      </c>
      <c r="H106" s="159">
        <f>1*2.1*0.1*0.1</f>
        <v>2.1000000000000005E-2</v>
      </c>
      <c r="L106" s="156"/>
      <c r="M106" s="160"/>
      <c r="N106" s="161"/>
      <c r="O106" s="161"/>
      <c r="P106" s="161"/>
      <c r="Q106" s="161"/>
      <c r="R106" s="161"/>
      <c r="S106" s="161"/>
      <c r="T106" s="162"/>
      <c r="AT106" s="157" t="s">
        <v>145</v>
      </c>
      <c r="AU106" s="157" t="s">
        <v>82</v>
      </c>
      <c r="AV106" s="14" t="s">
        <v>82</v>
      </c>
      <c r="AW106" s="14" t="s">
        <v>34</v>
      </c>
      <c r="AX106" s="14" t="s">
        <v>72</v>
      </c>
      <c r="AY106" s="157" t="s">
        <v>138</v>
      </c>
    </row>
    <row r="107" spans="1:65" s="14" customFormat="1">
      <c r="B107" s="156"/>
      <c r="D107" s="150" t="s">
        <v>145</v>
      </c>
      <c r="E107" s="157" t="s">
        <v>3</v>
      </c>
      <c r="F107" s="158" t="s">
        <v>1411</v>
      </c>
      <c r="H107" s="159">
        <f>2*1*0.1*0.1</f>
        <v>2.0000000000000004E-2</v>
      </c>
      <c r="L107" s="156"/>
      <c r="M107" s="160"/>
      <c r="N107" s="161"/>
      <c r="O107" s="161"/>
      <c r="P107" s="161"/>
      <c r="Q107" s="161"/>
      <c r="R107" s="161"/>
      <c r="S107" s="161"/>
      <c r="T107" s="162"/>
      <c r="AT107" s="157" t="s">
        <v>145</v>
      </c>
      <c r="AU107" s="157" t="s">
        <v>82</v>
      </c>
      <c r="AV107" s="14" t="s">
        <v>82</v>
      </c>
      <c r="AW107" s="14" t="s">
        <v>34</v>
      </c>
      <c r="AX107" s="14" t="s">
        <v>72</v>
      </c>
      <c r="AY107" s="157" t="s">
        <v>138</v>
      </c>
    </row>
    <row r="108" spans="1:65" s="15" customFormat="1">
      <c r="B108" s="166"/>
      <c r="D108" s="150" t="s">
        <v>145</v>
      </c>
      <c r="E108" s="167" t="s">
        <v>3</v>
      </c>
      <c r="F108" s="168" t="s">
        <v>151</v>
      </c>
      <c r="H108" s="169">
        <f>SUM(H105:H107)</f>
        <v>5.9000000000000011E-2</v>
      </c>
      <c r="L108" s="166"/>
      <c r="M108" s="170"/>
      <c r="N108" s="171"/>
      <c r="O108" s="171"/>
      <c r="P108" s="171"/>
      <c r="Q108" s="171"/>
      <c r="R108" s="171"/>
      <c r="S108" s="171"/>
      <c r="T108" s="172"/>
      <c r="AT108" s="167" t="s">
        <v>145</v>
      </c>
      <c r="AU108" s="167" t="s">
        <v>82</v>
      </c>
      <c r="AV108" s="15" t="s">
        <v>144</v>
      </c>
      <c r="AW108" s="15" t="s">
        <v>34</v>
      </c>
      <c r="AX108" s="15" t="s">
        <v>80</v>
      </c>
      <c r="AY108" s="167" t="s">
        <v>138</v>
      </c>
    </row>
    <row r="109" spans="1:65" s="2" customFormat="1" ht="37.9" customHeight="1">
      <c r="A109" s="31"/>
      <c r="B109" s="136"/>
      <c r="C109" s="137">
        <v>3</v>
      </c>
      <c r="D109" s="137" t="s">
        <v>141</v>
      </c>
      <c r="E109" s="138" t="s">
        <v>158</v>
      </c>
      <c r="F109" s="139" t="s">
        <v>159</v>
      </c>
      <c r="G109" s="140" t="s">
        <v>160</v>
      </c>
      <c r="H109" s="141">
        <f>H114</f>
        <v>0.16750800000000002</v>
      </c>
      <c r="I109" s="142"/>
      <c r="J109" s="142">
        <f>ROUND(I109*H109,2)</f>
        <v>0</v>
      </c>
      <c r="K109" s="139" t="s">
        <v>148</v>
      </c>
      <c r="L109" s="32"/>
      <c r="M109" s="143" t="s">
        <v>3</v>
      </c>
      <c r="N109" s="144" t="s">
        <v>43</v>
      </c>
      <c r="O109" s="145">
        <v>18.175000000000001</v>
      </c>
      <c r="P109" s="145">
        <f>O109*H109</f>
        <v>3.0444579000000003</v>
      </c>
      <c r="Q109" s="145">
        <v>1.9539999999999998E-2</v>
      </c>
      <c r="R109" s="145">
        <f>Q109*H109</f>
        <v>3.27310632E-3</v>
      </c>
      <c r="S109" s="145">
        <v>0</v>
      </c>
      <c r="T109" s="146">
        <f>S109*H109</f>
        <v>0</v>
      </c>
      <c r="U109" s="31"/>
      <c r="V109" s="31"/>
      <c r="W109" s="31"/>
      <c r="X109" s="31"/>
      <c r="Y109" s="31"/>
      <c r="Z109" s="31"/>
      <c r="AA109" s="31"/>
      <c r="AB109" s="31"/>
      <c r="AC109" s="31"/>
      <c r="AD109" s="31"/>
      <c r="AE109" s="31"/>
      <c r="AR109" s="147" t="s">
        <v>144</v>
      </c>
      <c r="AT109" s="147" t="s">
        <v>141</v>
      </c>
      <c r="AU109" s="147" t="s">
        <v>82</v>
      </c>
      <c r="AY109" s="19" t="s">
        <v>138</v>
      </c>
      <c r="BE109" s="148">
        <f>IF(N109="základní",J109,0)</f>
        <v>0</v>
      </c>
      <c r="BF109" s="148">
        <f>IF(N109="snížená",J109,0)</f>
        <v>0</v>
      </c>
      <c r="BG109" s="148">
        <f>IF(N109="zákl. přenesená",J109,0)</f>
        <v>0</v>
      </c>
      <c r="BH109" s="148">
        <f>IF(N109="sníž. přenesená",J109,0)</f>
        <v>0</v>
      </c>
      <c r="BI109" s="148">
        <f>IF(N109="nulová",J109,0)</f>
        <v>0</v>
      </c>
      <c r="BJ109" s="19" t="s">
        <v>80</v>
      </c>
      <c r="BK109" s="148">
        <f>ROUND(I109*H109,2)</f>
        <v>0</v>
      </c>
      <c r="BL109" s="19" t="s">
        <v>144</v>
      </c>
      <c r="BM109" s="147" t="s">
        <v>161</v>
      </c>
    </row>
    <row r="110" spans="1:65" s="2" customFormat="1" ht="78">
      <c r="A110" s="31"/>
      <c r="B110" s="32"/>
      <c r="C110" s="31"/>
      <c r="D110" s="150" t="s">
        <v>149</v>
      </c>
      <c r="E110" s="31"/>
      <c r="F110" s="163" t="s">
        <v>162</v>
      </c>
      <c r="G110" s="31"/>
      <c r="H110" s="31"/>
      <c r="I110" s="31"/>
      <c r="J110" s="31"/>
      <c r="K110" s="31"/>
      <c r="L110" s="32"/>
      <c r="M110" s="164"/>
      <c r="N110" s="165"/>
      <c r="O110" s="52"/>
      <c r="P110" s="52"/>
      <c r="Q110" s="52"/>
      <c r="R110" s="52"/>
      <c r="S110" s="52"/>
      <c r="T110" s="53"/>
      <c r="U110" s="31"/>
      <c r="V110" s="31"/>
      <c r="W110" s="31"/>
      <c r="X110" s="31"/>
      <c r="Y110" s="31"/>
      <c r="Z110" s="31"/>
      <c r="AA110" s="31"/>
      <c r="AB110" s="31"/>
      <c r="AC110" s="31"/>
      <c r="AD110" s="31"/>
      <c r="AE110" s="31"/>
      <c r="AT110" s="19" t="s">
        <v>149</v>
      </c>
      <c r="AU110" s="19" t="s">
        <v>82</v>
      </c>
    </row>
    <row r="111" spans="1:65" s="13" customFormat="1" ht="22.5">
      <c r="B111" s="149"/>
      <c r="D111" s="150" t="s">
        <v>145</v>
      </c>
      <c r="E111" s="151" t="s">
        <v>3</v>
      </c>
      <c r="F111" s="152" t="s">
        <v>150</v>
      </c>
      <c r="H111" s="151" t="s">
        <v>3</v>
      </c>
      <c r="L111" s="149"/>
      <c r="M111" s="153"/>
      <c r="N111" s="154"/>
      <c r="O111" s="154"/>
      <c r="P111" s="154"/>
      <c r="Q111" s="154"/>
      <c r="R111" s="154"/>
      <c r="S111" s="154"/>
      <c r="T111" s="155"/>
      <c r="AT111" s="151" t="s">
        <v>145</v>
      </c>
      <c r="AU111" s="151" t="s">
        <v>82</v>
      </c>
      <c r="AV111" s="13" t="s">
        <v>80</v>
      </c>
      <c r="AW111" s="13" t="s">
        <v>34</v>
      </c>
      <c r="AX111" s="13" t="s">
        <v>72</v>
      </c>
      <c r="AY111" s="151" t="s">
        <v>138</v>
      </c>
    </row>
    <row r="112" spans="1:65" s="14" customFormat="1">
      <c r="B112" s="156"/>
      <c r="D112" s="150" t="s">
        <v>145</v>
      </c>
      <c r="E112" s="157" t="s">
        <v>3</v>
      </c>
      <c r="F112" s="158" t="s">
        <v>1293</v>
      </c>
      <c r="H112" s="159">
        <f>9*(2*1.2)*5.94/1000</f>
        <v>0.128304</v>
      </c>
      <c r="L112" s="156"/>
      <c r="M112" s="160"/>
      <c r="N112" s="161"/>
      <c r="O112" s="161"/>
      <c r="P112" s="161"/>
      <c r="Q112" s="161"/>
      <c r="R112" s="161"/>
      <c r="S112" s="161"/>
      <c r="T112" s="162"/>
      <c r="AT112" s="157" t="s">
        <v>145</v>
      </c>
      <c r="AU112" s="157" t="s">
        <v>82</v>
      </c>
      <c r="AV112" s="14" t="s">
        <v>82</v>
      </c>
      <c r="AW112" s="14" t="s">
        <v>34</v>
      </c>
      <c r="AX112" s="14" t="s">
        <v>72</v>
      </c>
      <c r="AY112" s="157" t="s">
        <v>138</v>
      </c>
    </row>
    <row r="113" spans="1:65" s="14" customFormat="1">
      <c r="B113" s="156"/>
      <c r="D113" s="150" t="s">
        <v>145</v>
      </c>
      <c r="E113" s="157" t="s">
        <v>3</v>
      </c>
      <c r="F113" s="158" t="s">
        <v>1294</v>
      </c>
      <c r="H113" s="159">
        <f>3*(2*1.1)*5.94/1000</f>
        <v>3.920400000000001E-2</v>
      </c>
      <c r="L113" s="156"/>
      <c r="M113" s="160"/>
      <c r="N113" s="161"/>
      <c r="O113" s="161"/>
      <c r="P113" s="161"/>
      <c r="Q113" s="161"/>
      <c r="R113" s="161"/>
      <c r="S113" s="161"/>
      <c r="T113" s="162"/>
      <c r="AT113" s="157" t="s">
        <v>145</v>
      </c>
      <c r="AU113" s="157" t="s">
        <v>82</v>
      </c>
      <c r="AV113" s="14" t="s">
        <v>82</v>
      </c>
      <c r="AW113" s="14" t="s">
        <v>34</v>
      </c>
      <c r="AX113" s="14" t="s">
        <v>72</v>
      </c>
      <c r="AY113" s="157" t="s">
        <v>138</v>
      </c>
    </row>
    <row r="114" spans="1:65" s="15" customFormat="1">
      <c r="B114" s="166"/>
      <c r="D114" s="150" t="s">
        <v>145</v>
      </c>
      <c r="E114" s="167" t="s">
        <v>3</v>
      </c>
      <c r="F114" s="168" t="s">
        <v>151</v>
      </c>
      <c r="H114" s="169">
        <f>H112+H113</f>
        <v>0.16750800000000002</v>
      </c>
      <c r="L114" s="166"/>
      <c r="M114" s="170"/>
      <c r="N114" s="171"/>
      <c r="O114" s="171"/>
      <c r="P114" s="171"/>
      <c r="Q114" s="171"/>
      <c r="R114" s="171"/>
      <c r="S114" s="171"/>
      <c r="T114" s="172"/>
      <c r="AT114" s="167" t="s">
        <v>145</v>
      </c>
      <c r="AU114" s="167" t="s">
        <v>82</v>
      </c>
      <c r="AV114" s="15" t="s">
        <v>144</v>
      </c>
      <c r="AW114" s="15" t="s">
        <v>34</v>
      </c>
      <c r="AX114" s="15" t="s">
        <v>80</v>
      </c>
      <c r="AY114" s="167" t="s">
        <v>138</v>
      </c>
    </row>
    <row r="115" spans="1:65" s="2" customFormat="1" ht="14.45" customHeight="1">
      <c r="B115" s="301"/>
      <c r="C115" s="173">
        <v>4</v>
      </c>
      <c r="D115" s="173" t="s">
        <v>164</v>
      </c>
      <c r="E115" s="174" t="s">
        <v>165</v>
      </c>
      <c r="F115" s="175" t="s">
        <v>166</v>
      </c>
      <c r="G115" s="176" t="s">
        <v>160</v>
      </c>
      <c r="H115" s="177">
        <f>H120</f>
        <v>5.3578800000000003E-2</v>
      </c>
      <c r="I115" s="178"/>
      <c r="J115" s="178">
        <f>ROUND(I115*H115,2)</f>
        <v>0</v>
      </c>
      <c r="K115" s="175" t="s">
        <v>148</v>
      </c>
      <c r="L115" s="179"/>
      <c r="M115" s="180" t="s">
        <v>3</v>
      </c>
      <c r="N115" s="308" t="s">
        <v>43</v>
      </c>
      <c r="O115" s="303">
        <v>0</v>
      </c>
      <c r="P115" s="303">
        <f>O115*H115</f>
        <v>0</v>
      </c>
      <c r="Q115" s="303">
        <v>1</v>
      </c>
      <c r="R115" s="303">
        <f>Q115*H115</f>
        <v>5.3578800000000003E-2</v>
      </c>
      <c r="S115" s="303">
        <v>0</v>
      </c>
      <c r="T115" s="146">
        <f>S115*H115</f>
        <v>0</v>
      </c>
      <c r="AR115" s="147" t="s">
        <v>167</v>
      </c>
      <c r="AT115" s="147" t="s">
        <v>164</v>
      </c>
      <c r="AU115" s="147" t="s">
        <v>82</v>
      </c>
      <c r="AY115" s="304" t="s">
        <v>138</v>
      </c>
      <c r="BE115" s="305">
        <f>IF(N115="základní",J115,0)</f>
        <v>0</v>
      </c>
      <c r="BF115" s="305">
        <f>IF(N115="snížená",J115,0)</f>
        <v>0</v>
      </c>
      <c r="BG115" s="305">
        <f>IF(N115="zákl. přenesená",J115,0)</f>
        <v>0</v>
      </c>
      <c r="BH115" s="305">
        <f>IF(N115="sníž. přenesená",J115,0)</f>
        <v>0</v>
      </c>
      <c r="BI115" s="305">
        <f>IF(N115="nulová",J115,0)</f>
        <v>0</v>
      </c>
      <c r="BJ115" s="304" t="s">
        <v>80</v>
      </c>
      <c r="BK115" s="305">
        <f>ROUND(I115*H115,2)</f>
        <v>0</v>
      </c>
      <c r="BL115" s="304" t="s">
        <v>144</v>
      </c>
      <c r="BM115" s="147" t="s">
        <v>168</v>
      </c>
    </row>
    <row r="116" spans="1:65" s="13" customFormat="1" ht="22.5">
      <c r="B116" s="149"/>
      <c r="D116" s="150" t="s">
        <v>145</v>
      </c>
      <c r="E116" s="151" t="s">
        <v>3</v>
      </c>
      <c r="F116" s="152" t="s">
        <v>150</v>
      </c>
      <c r="H116" s="151" t="s">
        <v>3</v>
      </c>
      <c r="L116" s="149"/>
      <c r="M116" s="153"/>
      <c r="N116" s="306"/>
      <c r="O116" s="306"/>
      <c r="P116" s="306"/>
      <c r="Q116" s="306"/>
      <c r="R116" s="306"/>
      <c r="S116" s="306"/>
      <c r="T116" s="155"/>
      <c r="AT116" s="151" t="s">
        <v>145</v>
      </c>
      <c r="AU116" s="151" t="s">
        <v>82</v>
      </c>
      <c r="AV116" s="13" t="s">
        <v>80</v>
      </c>
      <c r="AW116" s="13" t="s">
        <v>34</v>
      </c>
      <c r="AX116" s="13" t="s">
        <v>72</v>
      </c>
      <c r="AY116" s="151" t="s">
        <v>138</v>
      </c>
    </row>
    <row r="117" spans="1:65" s="14" customFormat="1">
      <c r="B117" s="156"/>
      <c r="D117" s="150" t="s">
        <v>145</v>
      </c>
      <c r="E117" s="157" t="s">
        <v>3</v>
      </c>
      <c r="F117" s="158" t="s">
        <v>1415</v>
      </c>
      <c r="H117" s="159">
        <f>1*(2*2.1)*5.94/1000</f>
        <v>2.4948000000000005E-2</v>
      </c>
      <c r="L117" s="156"/>
      <c r="M117" s="160"/>
      <c r="N117" s="307"/>
      <c r="O117" s="307"/>
      <c r="P117" s="307"/>
      <c r="Q117" s="307"/>
      <c r="R117" s="307"/>
      <c r="S117" s="307"/>
      <c r="T117" s="162"/>
      <c r="AT117" s="157" t="s">
        <v>145</v>
      </c>
      <c r="AU117" s="157" t="s">
        <v>82</v>
      </c>
      <c r="AV117" s="14" t="s">
        <v>82</v>
      </c>
      <c r="AW117" s="14" t="s">
        <v>34</v>
      </c>
      <c r="AX117" s="14" t="s">
        <v>72</v>
      </c>
      <c r="AY117" s="157" t="s">
        <v>138</v>
      </c>
    </row>
    <row r="118" spans="1:65" s="14" customFormat="1">
      <c r="B118" s="156"/>
      <c r="D118" s="150" t="s">
        <v>145</v>
      </c>
      <c r="E118" s="157" t="s">
        <v>3</v>
      </c>
      <c r="F118" s="158" t="s">
        <v>1416</v>
      </c>
      <c r="H118" s="159">
        <f>2*(2*1)*5.94/1000</f>
        <v>2.376E-2</v>
      </c>
      <c r="L118" s="156"/>
      <c r="M118" s="160"/>
      <c r="N118" s="307"/>
      <c r="O118" s="307"/>
      <c r="P118" s="307"/>
      <c r="Q118" s="307"/>
      <c r="R118" s="307"/>
      <c r="S118" s="307"/>
      <c r="T118" s="162"/>
      <c r="AT118" s="157" t="s">
        <v>145</v>
      </c>
      <c r="AU118" s="157" t="s">
        <v>82</v>
      </c>
      <c r="AV118" s="14" t="s">
        <v>82</v>
      </c>
      <c r="AW118" s="14" t="s">
        <v>34</v>
      </c>
      <c r="AX118" s="14" t="s">
        <v>72</v>
      </c>
      <c r="AY118" s="157" t="s">
        <v>138</v>
      </c>
    </row>
    <row r="119" spans="1:65" s="15" customFormat="1">
      <c r="B119" s="166"/>
      <c r="D119" s="150" t="s">
        <v>145</v>
      </c>
      <c r="E119" s="167" t="s">
        <v>3</v>
      </c>
      <c r="F119" s="168" t="s">
        <v>151</v>
      </c>
      <c r="H119" s="169">
        <f>H117+H118</f>
        <v>4.8708000000000001E-2</v>
      </c>
      <c r="L119" s="166"/>
      <c r="M119" s="170"/>
      <c r="N119" s="320"/>
      <c r="O119" s="320"/>
      <c r="P119" s="320"/>
      <c r="Q119" s="320"/>
      <c r="R119" s="320"/>
      <c r="S119" s="320"/>
      <c r="T119" s="172"/>
      <c r="AT119" s="167" t="s">
        <v>145</v>
      </c>
      <c r="AU119" s="167" t="s">
        <v>82</v>
      </c>
      <c r="AV119" s="15" t="s">
        <v>144</v>
      </c>
      <c r="AW119" s="15" t="s">
        <v>34</v>
      </c>
      <c r="AX119" s="15" t="s">
        <v>80</v>
      </c>
      <c r="AY119" s="167" t="s">
        <v>138</v>
      </c>
    </row>
    <row r="120" spans="1:65" s="14" customFormat="1">
      <c r="B120" s="156"/>
      <c r="D120" s="150" t="s">
        <v>145</v>
      </c>
      <c r="F120" s="158" t="s">
        <v>1417</v>
      </c>
      <c r="H120" s="159">
        <f>H119*1.1</f>
        <v>5.3578800000000003E-2</v>
      </c>
      <c r="L120" s="156"/>
      <c r="M120" s="160"/>
      <c r="N120" s="307"/>
      <c r="O120" s="307"/>
      <c r="P120" s="307"/>
      <c r="Q120" s="307"/>
      <c r="R120" s="307"/>
      <c r="S120" s="307"/>
      <c r="T120" s="162"/>
      <c r="AT120" s="157" t="s">
        <v>145</v>
      </c>
      <c r="AU120" s="157" t="s">
        <v>82</v>
      </c>
      <c r="AV120" s="14" t="s">
        <v>82</v>
      </c>
      <c r="AW120" s="14" t="s">
        <v>4</v>
      </c>
      <c r="AX120" s="14" t="s">
        <v>80</v>
      </c>
      <c r="AY120" s="157" t="s">
        <v>138</v>
      </c>
    </row>
    <row r="121" spans="1:65" s="2" customFormat="1" ht="14.45" customHeight="1">
      <c r="B121" s="301"/>
      <c r="C121" s="173">
        <v>5</v>
      </c>
      <c r="D121" s="173" t="s">
        <v>164</v>
      </c>
      <c r="E121" s="174" t="s">
        <v>1412</v>
      </c>
      <c r="F121" s="175" t="s">
        <v>1413</v>
      </c>
      <c r="G121" s="176" t="s">
        <v>160</v>
      </c>
      <c r="H121" s="177">
        <f>H125</f>
        <v>2.2017600000000002E-2</v>
      </c>
      <c r="I121" s="178"/>
      <c r="J121" s="178">
        <f>ROUND(I121*H121,2)</f>
        <v>0</v>
      </c>
      <c r="K121" s="175" t="s">
        <v>148</v>
      </c>
      <c r="L121" s="179"/>
      <c r="M121" s="180" t="s">
        <v>3</v>
      </c>
      <c r="N121" s="308" t="s">
        <v>43</v>
      </c>
      <c r="O121" s="303">
        <v>0</v>
      </c>
      <c r="P121" s="303">
        <f>O121*H121</f>
        <v>0</v>
      </c>
      <c r="Q121" s="303">
        <v>1</v>
      </c>
      <c r="R121" s="303">
        <f>Q121*H121</f>
        <v>2.2017600000000002E-2</v>
      </c>
      <c r="S121" s="303">
        <v>0</v>
      </c>
      <c r="T121" s="146">
        <f>S121*H121</f>
        <v>0</v>
      </c>
      <c r="AR121" s="147" t="s">
        <v>167</v>
      </c>
      <c r="AT121" s="147" t="s">
        <v>164</v>
      </c>
      <c r="AU121" s="147" t="s">
        <v>82</v>
      </c>
      <c r="AY121" s="304" t="s">
        <v>138</v>
      </c>
      <c r="BE121" s="305">
        <f>IF(N121="základní",J121,0)</f>
        <v>0</v>
      </c>
      <c r="BF121" s="305">
        <f>IF(N121="snížená",J121,0)</f>
        <v>0</v>
      </c>
      <c r="BG121" s="305">
        <f>IF(N121="zákl. přenesená",J121,0)</f>
        <v>0</v>
      </c>
      <c r="BH121" s="305">
        <f>IF(N121="sníž. přenesená",J121,0)</f>
        <v>0</v>
      </c>
      <c r="BI121" s="305">
        <f>IF(N121="nulová",J121,0)</f>
        <v>0</v>
      </c>
      <c r="BJ121" s="304" t="s">
        <v>80</v>
      </c>
      <c r="BK121" s="305">
        <f>ROUND(I121*H121,2)</f>
        <v>0</v>
      </c>
      <c r="BL121" s="304" t="s">
        <v>144</v>
      </c>
      <c r="BM121" s="147" t="s">
        <v>1414</v>
      </c>
    </row>
    <row r="122" spans="1:65" s="13" customFormat="1" ht="22.5">
      <c r="B122" s="149"/>
      <c r="D122" s="150" t="s">
        <v>145</v>
      </c>
      <c r="E122" s="151" t="s">
        <v>3</v>
      </c>
      <c r="F122" s="152" t="s">
        <v>150</v>
      </c>
      <c r="H122" s="151" t="s">
        <v>3</v>
      </c>
      <c r="L122" s="149"/>
      <c r="M122" s="153"/>
      <c r="N122" s="306"/>
      <c r="O122" s="306"/>
      <c r="P122" s="306"/>
      <c r="Q122" s="306"/>
      <c r="R122" s="306"/>
      <c r="S122" s="306"/>
      <c r="T122" s="155"/>
      <c r="AT122" s="151" t="s">
        <v>145</v>
      </c>
      <c r="AU122" s="151" t="s">
        <v>82</v>
      </c>
      <c r="AV122" s="13" t="s">
        <v>80</v>
      </c>
      <c r="AW122" s="13" t="s">
        <v>34</v>
      </c>
      <c r="AX122" s="13" t="s">
        <v>72</v>
      </c>
      <c r="AY122" s="151" t="s">
        <v>138</v>
      </c>
    </row>
    <row r="123" spans="1:65" s="14" customFormat="1">
      <c r="B123" s="156"/>
      <c r="D123" s="150" t="s">
        <v>145</v>
      </c>
      <c r="E123" s="157" t="s">
        <v>3</v>
      </c>
      <c r="F123" s="158" t="s">
        <v>1418</v>
      </c>
      <c r="H123" s="159">
        <f>1*(2*1.2)*8.34/1000</f>
        <v>2.0015999999999999E-2</v>
      </c>
      <c r="L123" s="156"/>
      <c r="M123" s="160"/>
      <c r="N123" s="307"/>
      <c r="O123" s="307"/>
      <c r="P123" s="307"/>
      <c r="Q123" s="307"/>
      <c r="R123" s="307"/>
      <c r="S123" s="307"/>
      <c r="T123" s="162"/>
      <c r="AT123" s="157" t="s">
        <v>145</v>
      </c>
      <c r="AU123" s="157" t="s">
        <v>82</v>
      </c>
      <c r="AV123" s="14" t="s">
        <v>82</v>
      </c>
      <c r="AW123" s="14" t="s">
        <v>34</v>
      </c>
      <c r="AX123" s="14" t="s">
        <v>72</v>
      </c>
      <c r="AY123" s="157" t="s">
        <v>138</v>
      </c>
    </row>
    <row r="124" spans="1:65" s="15" customFormat="1">
      <c r="B124" s="166"/>
      <c r="D124" s="150" t="s">
        <v>145</v>
      </c>
      <c r="E124" s="167" t="s">
        <v>3</v>
      </c>
      <c r="F124" s="168" t="s">
        <v>151</v>
      </c>
      <c r="H124" s="169">
        <f>H123</f>
        <v>2.0015999999999999E-2</v>
      </c>
      <c r="L124" s="166"/>
      <c r="M124" s="170"/>
      <c r="N124" s="320"/>
      <c r="O124" s="320"/>
      <c r="P124" s="320"/>
      <c r="Q124" s="320"/>
      <c r="R124" s="320"/>
      <c r="S124" s="320"/>
      <c r="T124" s="172"/>
      <c r="AT124" s="167" t="s">
        <v>145</v>
      </c>
      <c r="AU124" s="167" t="s">
        <v>82</v>
      </c>
      <c r="AV124" s="15" t="s">
        <v>144</v>
      </c>
      <c r="AW124" s="15" t="s">
        <v>34</v>
      </c>
      <c r="AX124" s="15" t="s">
        <v>80</v>
      </c>
      <c r="AY124" s="167" t="s">
        <v>138</v>
      </c>
    </row>
    <row r="125" spans="1:65" s="14" customFormat="1">
      <c r="B125" s="156"/>
      <c r="D125" s="150" t="s">
        <v>145</v>
      </c>
      <c r="F125" s="158" t="s">
        <v>1419</v>
      </c>
      <c r="H125" s="159">
        <f>H124*1.1</f>
        <v>2.2017600000000002E-2</v>
      </c>
      <c r="L125" s="156"/>
      <c r="M125" s="160"/>
      <c r="N125" s="307"/>
      <c r="O125" s="307"/>
      <c r="P125" s="307"/>
      <c r="Q125" s="307"/>
      <c r="R125" s="307"/>
      <c r="S125" s="307"/>
      <c r="T125" s="162"/>
      <c r="AT125" s="157" t="s">
        <v>145</v>
      </c>
      <c r="AU125" s="157" t="s">
        <v>82</v>
      </c>
      <c r="AV125" s="14" t="s">
        <v>82</v>
      </c>
      <c r="AW125" s="14" t="s">
        <v>4</v>
      </c>
      <c r="AX125" s="14" t="s">
        <v>80</v>
      </c>
      <c r="AY125" s="157" t="s">
        <v>138</v>
      </c>
    </row>
    <row r="126" spans="1:65" s="2" customFormat="1" ht="49.15" customHeight="1">
      <c r="A126" s="31"/>
      <c r="B126" s="136"/>
      <c r="C126" s="137">
        <v>6</v>
      </c>
      <c r="D126" s="137" t="s">
        <v>141</v>
      </c>
      <c r="E126" s="138" t="s">
        <v>171</v>
      </c>
      <c r="F126" s="139" t="s">
        <v>172</v>
      </c>
      <c r="G126" s="140" t="s">
        <v>173</v>
      </c>
      <c r="H126" s="141">
        <f>H128</f>
        <v>0.98250000000000004</v>
      </c>
      <c r="I126" s="142"/>
      <c r="J126" s="142">
        <f>ROUND(I126*H126,2)</f>
        <v>0</v>
      </c>
      <c r="K126" s="139" t="s">
        <v>148</v>
      </c>
      <c r="L126" s="32"/>
      <c r="M126" s="143" t="s">
        <v>3</v>
      </c>
      <c r="N126" s="144" t="s">
        <v>43</v>
      </c>
      <c r="O126" s="145">
        <v>0.68</v>
      </c>
      <c r="P126" s="145">
        <f>O126*H126</f>
        <v>0.66810000000000003</v>
      </c>
      <c r="Q126" s="145">
        <v>6.3070000000000001E-2</v>
      </c>
      <c r="R126" s="145">
        <f>Q126*H126</f>
        <v>6.1966275000000001E-2</v>
      </c>
      <c r="S126" s="145">
        <v>0</v>
      </c>
      <c r="T126" s="146">
        <f>S126*H126</f>
        <v>0</v>
      </c>
      <c r="U126" s="31"/>
      <c r="V126" s="31"/>
      <c r="W126" s="31"/>
      <c r="X126" s="31"/>
      <c r="Y126" s="31"/>
      <c r="Z126" s="31"/>
      <c r="AA126" s="31"/>
      <c r="AB126" s="31"/>
      <c r="AC126" s="31"/>
      <c r="AD126" s="31"/>
      <c r="AE126" s="31"/>
      <c r="AR126" s="147" t="s">
        <v>144</v>
      </c>
      <c r="AT126" s="147" t="s">
        <v>141</v>
      </c>
      <c r="AU126" s="147" t="s">
        <v>82</v>
      </c>
      <c r="AY126" s="19" t="s">
        <v>138</v>
      </c>
      <c r="BE126" s="148">
        <f>IF(N126="základní",J126,0)</f>
        <v>0</v>
      </c>
      <c r="BF126" s="148">
        <f>IF(N126="snížená",J126,0)</f>
        <v>0</v>
      </c>
      <c r="BG126" s="148">
        <f>IF(N126="zákl. přenesená",J126,0)</f>
        <v>0</v>
      </c>
      <c r="BH126" s="148">
        <f>IF(N126="sníž. přenesená",J126,0)</f>
        <v>0</v>
      </c>
      <c r="BI126" s="148">
        <f>IF(N126="nulová",J126,0)</f>
        <v>0</v>
      </c>
      <c r="BJ126" s="19" t="s">
        <v>80</v>
      </c>
      <c r="BK126" s="148">
        <f>ROUND(I126*H126,2)</f>
        <v>0</v>
      </c>
      <c r="BL126" s="19" t="s">
        <v>144</v>
      </c>
      <c r="BM126" s="147" t="s">
        <v>174</v>
      </c>
    </row>
    <row r="127" spans="1:65" s="13" customFormat="1">
      <c r="B127" s="149"/>
      <c r="D127" s="150" t="s">
        <v>145</v>
      </c>
      <c r="E127" s="151" t="s">
        <v>3</v>
      </c>
      <c r="F127" s="152" t="s">
        <v>146</v>
      </c>
      <c r="H127" s="151" t="s">
        <v>3</v>
      </c>
      <c r="L127" s="149"/>
      <c r="M127" s="153"/>
      <c r="N127" s="154"/>
      <c r="O127" s="154"/>
      <c r="P127" s="154"/>
      <c r="Q127" s="154"/>
      <c r="R127" s="154"/>
      <c r="S127" s="154"/>
      <c r="T127" s="155"/>
      <c r="AT127" s="151" t="s">
        <v>145</v>
      </c>
      <c r="AU127" s="151" t="s">
        <v>82</v>
      </c>
      <c r="AV127" s="13" t="s">
        <v>80</v>
      </c>
      <c r="AW127" s="13" t="s">
        <v>34</v>
      </c>
      <c r="AX127" s="13" t="s">
        <v>72</v>
      </c>
      <c r="AY127" s="151" t="s">
        <v>138</v>
      </c>
    </row>
    <row r="128" spans="1:65" s="14" customFormat="1">
      <c r="B128" s="156"/>
      <c r="D128" s="150" t="s">
        <v>145</v>
      </c>
      <c r="E128" s="157" t="s">
        <v>3</v>
      </c>
      <c r="F128" s="158" t="s">
        <v>1420</v>
      </c>
      <c r="H128" s="159">
        <f>0.75*0.75+0.2*2.1</f>
        <v>0.98250000000000004</v>
      </c>
      <c r="L128" s="156"/>
      <c r="M128" s="160"/>
      <c r="N128" s="161"/>
      <c r="O128" s="161"/>
      <c r="P128" s="161"/>
      <c r="Q128" s="161"/>
      <c r="R128" s="161"/>
      <c r="S128" s="161"/>
      <c r="T128" s="162"/>
      <c r="AT128" s="157" t="s">
        <v>145</v>
      </c>
      <c r="AU128" s="157" t="s">
        <v>82</v>
      </c>
      <c r="AV128" s="14" t="s">
        <v>82</v>
      </c>
      <c r="AW128" s="14" t="s">
        <v>34</v>
      </c>
      <c r="AX128" s="14" t="s">
        <v>80</v>
      </c>
      <c r="AY128" s="157" t="s">
        <v>138</v>
      </c>
    </row>
    <row r="129" spans="1:65" s="2" customFormat="1" ht="49.15" customHeight="1">
      <c r="A129" s="31"/>
      <c r="B129" s="136"/>
      <c r="C129" s="137">
        <v>7</v>
      </c>
      <c r="D129" s="137" t="s">
        <v>141</v>
      </c>
      <c r="E129" s="138" t="s">
        <v>175</v>
      </c>
      <c r="F129" s="139" t="s">
        <v>176</v>
      </c>
      <c r="G129" s="140" t="s">
        <v>173</v>
      </c>
      <c r="H129" s="141">
        <f>H131</f>
        <v>4.011000000000001</v>
      </c>
      <c r="I129" s="142"/>
      <c r="J129" s="142">
        <f>ROUND(I129*H129,2)</f>
        <v>0</v>
      </c>
      <c r="K129" s="139" t="s">
        <v>148</v>
      </c>
      <c r="L129" s="32"/>
      <c r="M129" s="143" t="s">
        <v>3</v>
      </c>
      <c r="N129" s="144" t="s">
        <v>43</v>
      </c>
      <c r="O129" s="145">
        <v>0.56699999999999995</v>
      </c>
      <c r="P129" s="145">
        <f>O129*H129</f>
        <v>2.2742370000000003</v>
      </c>
      <c r="Q129" s="145">
        <v>6.1969999999999997E-2</v>
      </c>
      <c r="R129" s="145">
        <f>Q129*H129</f>
        <v>0.24856167000000004</v>
      </c>
      <c r="S129" s="145">
        <v>0</v>
      </c>
      <c r="T129" s="146">
        <f>S129*H129</f>
        <v>0</v>
      </c>
      <c r="U129" s="31"/>
      <c r="V129" s="31"/>
      <c r="W129" s="31"/>
      <c r="X129" s="31"/>
      <c r="Y129" s="31"/>
      <c r="Z129" s="31"/>
      <c r="AA129" s="31"/>
      <c r="AB129" s="31"/>
      <c r="AC129" s="31"/>
      <c r="AD129" s="31"/>
      <c r="AE129" s="31"/>
      <c r="AR129" s="147" t="s">
        <v>144</v>
      </c>
      <c r="AT129" s="147" t="s">
        <v>141</v>
      </c>
      <c r="AU129" s="147" t="s">
        <v>82</v>
      </c>
      <c r="AY129" s="19" t="s">
        <v>138</v>
      </c>
      <c r="BE129" s="148">
        <f>IF(N129="základní",J129,0)</f>
        <v>0</v>
      </c>
      <c r="BF129" s="148">
        <f>IF(N129="snížená",J129,0)</f>
        <v>0</v>
      </c>
      <c r="BG129" s="148">
        <f>IF(N129="zákl. přenesená",J129,0)</f>
        <v>0</v>
      </c>
      <c r="BH129" s="148">
        <f>IF(N129="sníž. přenesená",J129,0)</f>
        <v>0</v>
      </c>
      <c r="BI129" s="148">
        <f>IF(N129="nulová",J129,0)</f>
        <v>0</v>
      </c>
      <c r="BJ129" s="19" t="s">
        <v>80</v>
      </c>
      <c r="BK129" s="148">
        <f>ROUND(I129*H129,2)</f>
        <v>0</v>
      </c>
      <c r="BL129" s="19" t="s">
        <v>144</v>
      </c>
      <c r="BM129" s="147" t="s">
        <v>177</v>
      </c>
    </row>
    <row r="130" spans="1:65" s="13" customFormat="1">
      <c r="B130" s="149"/>
      <c r="D130" s="150" t="s">
        <v>145</v>
      </c>
      <c r="E130" s="151" t="s">
        <v>3</v>
      </c>
      <c r="F130" s="152" t="s">
        <v>146</v>
      </c>
      <c r="H130" s="151" t="s">
        <v>3</v>
      </c>
      <c r="L130" s="149"/>
      <c r="M130" s="153"/>
      <c r="N130" s="154"/>
      <c r="O130" s="154"/>
      <c r="P130" s="154"/>
      <c r="Q130" s="154"/>
      <c r="R130" s="154"/>
      <c r="S130" s="154"/>
      <c r="T130" s="155"/>
      <c r="AT130" s="151" t="s">
        <v>145</v>
      </c>
      <c r="AU130" s="151" t="s">
        <v>82</v>
      </c>
      <c r="AV130" s="13" t="s">
        <v>80</v>
      </c>
      <c r="AW130" s="13" t="s">
        <v>34</v>
      </c>
      <c r="AX130" s="13" t="s">
        <v>72</v>
      </c>
      <c r="AY130" s="151" t="s">
        <v>138</v>
      </c>
    </row>
    <row r="131" spans="1:65" s="14" customFormat="1">
      <c r="B131" s="156"/>
      <c r="D131" s="150" t="s">
        <v>145</v>
      </c>
      <c r="E131" s="157" t="s">
        <v>3</v>
      </c>
      <c r="F131" s="158" t="s">
        <v>1423</v>
      </c>
      <c r="H131" s="159">
        <f>0.9*2.1+0.5*2.1+0.51*2.1</f>
        <v>4.011000000000001</v>
      </c>
      <c r="L131" s="156"/>
      <c r="M131" s="160"/>
      <c r="N131" s="161"/>
      <c r="O131" s="161"/>
      <c r="P131" s="161"/>
      <c r="Q131" s="161"/>
      <c r="R131" s="161"/>
      <c r="S131" s="161"/>
      <c r="T131" s="162"/>
      <c r="AT131" s="157" t="s">
        <v>145</v>
      </c>
      <c r="AU131" s="157" t="s">
        <v>82</v>
      </c>
      <c r="AV131" s="14" t="s">
        <v>82</v>
      </c>
      <c r="AW131" s="14" t="s">
        <v>34</v>
      </c>
      <c r="AX131" s="14" t="s">
        <v>72</v>
      </c>
      <c r="AY131" s="157" t="s">
        <v>138</v>
      </c>
    </row>
    <row r="132" spans="1:65" s="2" customFormat="1" ht="37.9" customHeight="1">
      <c r="A132" s="31"/>
      <c r="B132" s="136"/>
      <c r="C132" s="137">
        <v>8</v>
      </c>
      <c r="D132" s="137" t="s">
        <v>141</v>
      </c>
      <c r="E132" s="138" t="s">
        <v>180</v>
      </c>
      <c r="F132" s="139" t="s">
        <v>181</v>
      </c>
      <c r="G132" s="140" t="s">
        <v>173</v>
      </c>
      <c r="H132" s="141">
        <f>H138</f>
        <v>38.720200000000006</v>
      </c>
      <c r="I132" s="142"/>
      <c r="J132" s="142">
        <f>ROUND(I132*H132,2)</f>
        <v>0</v>
      </c>
      <c r="K132" s="139" t="s">
        <v>148</v>
      </c>
      <c r="L132" s="32"/>
      <c r="M132" s="143" t="s">
        <v>3</v>
      </c>
      <c r="N132" s="144" t="s">
        <v>43</v>
      </c>
      <c r="O132" s="145">
        <v>0.52500000000000002</v>
      </c>
      <c r="P132" s="145">
        <f>O132*H132</f>
        <v>20.328105000000004</v>
      </c>
      <c r="Q132" s="145">
        <v>5.8970000000000002E-2</v>
      </c>
      <c r="R132" s="145">
        <f>Q132*H132</f>
        <v>2.2833301940000004</v>
      </c>
      <c r="S132" s="145">
        <v>0</v>
      </c>
      <c r="T132" s="146">
        <f>S132*H132</f>
        <v>0</v>
      </c>
      <c r="U132" s="31"/>
      <c r="V132" s="31"/>
      <c r="W132" s="31"/>
      <c r="X132" s="31"/>
      <c r="Y132" s="31"/>
      <c r="Z132" s="31"/>
      <c r="AA132" s="31"/>
      <c r="AB132" s="31"/>
      <c r="AC132" s="31"/>
      <c r="AD132" s="31"/>
      <c r="AE132" s="31"/>
      <c r="AR132" s="147" t="s">
        <v>144</v>
      </c>
      <c r="AT132" s="147" t="s">
        <v>141</v>
      </c>
      <c r="AU132" s="147" t="s">
        <v>82</v>
      </c>
      <c r="AY132" s="19" t="s">
        <v>138</v>
      </c>
      <c r="BE132" s="148">
        <f>IF(N132="základní",J132,0)</f>
        <v>0</v>
      </c>
      <c r="BF132" s="148">
        <f>IF(N132="snížená",J132,0)</f>
        <v>0</v>
      </c>
      <c r="BG132" s="148">
        <f>IF(N132="zákl. přenesená",J132,0)</f>
        <v>0</v>
      </c>
      <c r="BH132" s="148">
        <f>IF(N132="sníž. přenesená",J132,0)</f>
        <v>0</v>
      </c>
      <c r="BI132" s="148">
        <f>IF(N132="nulová",J132,0)</f>
        <v>0</v>
      </c>
      <c r="BJ132" s="19" t="s">
        <v>80</v>
      </c>
      <c r="BK132" s="148">
        <f>ROUND(I132*H132,2)</f>
        <v>0</v>
      </c>
      <c r="BL132" s="19" t="s">
        <v>144</v>
      </c>
      <c r="BM132" s="147" t="s">
        <v>182</v>
      </c>
    </row>
    <row r="133" spans="1:65" s="13" customFormat="1">
      <c r="B133" s="149"/>
      <c r="D133" s="150" t="s">
        <v>145</v>
      </c>
      <c r="E133" s="151" t="s">
        <v>3</v>
      </c>
      <c r="F133" s="152" t="s">
        <v>146</v>
      </c>
      <c r="H133" s="151" t="s">
        <v>3</v>
      </c>
      <c r="L133" s="149"/>
      <c r="M133" s="153"/>
      <c r="N133" s="154"/>
      <c r="O133" s="154"/>
      <c r="P133" s="154"/>
      <c r="Q133" s="154"/>
      <c r="R133" s="154"/>
      <c r="S133" s="154"/>
      <c r="T133" s="155"/>
      <c r="AT133" s="151" t="s">
        <v>145</v>
      </c>
      <c r="AU133" s="151" t="s">
        <v>82</v>
      </c>
      <c r="AV133" s="13" t="s">
        <v>80</v>
      </c>
      <c r="AW133" s="13" t="s">
        <v>34</v>
      </c>
      <c r="AX133" s="13" t="s">
        <v>72</v>
      </c>
      <c r="AY133" s="151" t="s">
        <v>138</v>
      </c>
    </row>
    <row r="134" spans="1:65" s="13" customFormat="1">
      <c r="B134" s="149"/>
      <c r="D134" s="150" t="s">
        <v>145</v>
      </c>
      <c r="E134" s="151" t="s">
        <v>3</v>
      </c>
      <c r="F134" s="152" t="s">
        <v>156</v>
      </c>
      <c r="H134" s="151" t="s">
        <v>3</v>
      </c>
      <c r="L134" s="149"/>
      <c r="M134" s="153"/>
      <c r="N134" s="154"/>
      <c r="O134" s="154"/>
      <c r="P134" s="154"/>
      <c r="Q134" s="154"/>
      <c r="R134" s="154"/>
      <c r="S134" s="154"/>
      <c r="T134" s="155"/>
      <c r="AT134" s="151" t="s">
        <v>145</v>
      </c>
      <c r="AU134" s="151" t="s">
        <v>82</v>
      </c>
      <c r="AV134" s="13" t="s">
        <v>80</v>
      </c>
      <c r="AW134" s="13" t="s">
        <v>34</v>
      </c>
      <c r="AX134" s="13" t="s">
        <v>72</v>
      </c>
      <c r="AY134" s="151" t="s">
        <v>138</v>
      </c>
    </row>
    <row r="135" spans="1:65" s="14" customFormat="1">
      <c r="B135" s="156"/>
      <c r="D135" s="150" t="s">
        <v>145</v>
      </c>
      <c r="E135" s="157" t="s">
        <v>3</v>
      </c>
      <c r="F135" s="158" t="s">
        <v>1421</v>
      </c>
      <c r="H135" s="159">
        <f>(1.88+1.84+1.78+2.57+1)*2.7-(0.8-0.9-0.9-0.8)*2.1</f>
        <v>28.269000000000002</v>
      </c>
      <c r="L135" s="156"/>
      <c r="M135" s="160"/>
      <c r="N135" s="161"/>
      <c r="O135" s="161"/>
      <c r="P135" s="161"/>
      <c r="Q135" s="161"/>
      <c r="R135" s="161"/>
      <c r="S135" s="161"/>
      <c r="T135" s="162"/>
      <c r="AT135" s="157" t="s">
        <v>145</v>
      </c>
      <c r="AU135" s="157" t="s">
        <v>82</v>
      </c>
      <c r="AV135" s="14" t="s">
        <v>82</v>
      </c>
      <c r="AW135" s="14" t="s">
        <v>34</v>
      </c>
      <c r="AX135" s="14" t="s">
        <v>72</v>
      </c>
      <c r="AY135" s="157" t="s">
        <v>138</v>
      </c>
    </row>
    <row r="136" spans="1:65" s="13" customFormat="1">
      <c r="B136" s="149"/>
      <c r="D136" s="150" t="s">
        <v>145</v>
      </c>
      <c r="E136" s="151" t="s">
        <v>3</v>
      </c>
      <c r="F136" s="152" t="s">
        <v>157</v>
      </c>
      <c r="H136" s="151" t="s">
        <v>3</v>
      </c>
      <c r="L136" s="149"/>
      <c r="M136" s="153"/>
      <c r="N136" s="154"/>
      <c r="O136" s="154"/>
      <c r="P136" s="154"/>
      <c r="Q136" s="154"/>
      <c r="R136" s="154"/>
      <c r="S136" s="154"/>
      <c r="T136" s="155"/>
      <c r="AT136" s="151" t="s">
        <v>145</v>
      </c>
      <c r="AU136" s="151" t="s">
        <v>82</v>
      </c>
      <c r="AV136" s="13" t="s">
        <v>80</v>
      </c>
      <c r="AW136" s="13" t="s">
        <v>34</v>
      </c>
      <c r="AX136" s="13" t="s">
        <v>72</v>
      </c>
      <c r="AY136" s="151" t="s">
        <v>138</v>
      </c>
    </row>
    <row r="137" spans="1:65" s="14" customFormat="1">
      <c r="B137" s="156"/>
      <c r="D137" s="150" t="s">
        <v>145</v>
      </c>
      <c r="E137" s="157" t="s">
        <v>3</v>
      </c>
      <c r="F137" s="158" t="s">
        <v>1422</v>
      </c>
      <c r="H137" s="159">
        <f>(2.23+2.23)*2.72-(0.8)*2.1</f>
        <v>10.451200000000002</v>
      </c>
      <c r="L137" s="156"/>
      <c r="M137" s="160"/>
      <c r="N137" s="161"/>
      <c r="O137" s="161"/>
      <c r="P137" s="161"/>
      <c r="Q137" s="161"/>
      <c r="R137" s="161"/>
      <c r="S137" s="161"/>
      <c r="T137" s="162"/>
      <c r="AT137" s="157" t="s">
        <v>145</v>
      </c>
      <c r="AU137" s="157" t="s">
        <v>82</v>
      </c>
      <c r="AV137" s="14" t="s">
        <v>82</v>
      </c>
      <c r="AW137" s="14" t="s">
        <v>34</v>
      </c>
      <c r="AX137" s="14" t="s">
        <v>72</v>
      </c>
      <c r="AY137" s="157" t="s">
        <v>138</v>
      </c>
    </row>
    <row r="138" spans="1:65" s="15" customFormat="1">
      <c r="B138" s="166"/>
      <c r="D138" s="150" t="s">
        <v>145</v>
      </c>
      <c r="E138" s="167" t="s">
        <v>3</v>
      </c>
      <c r="F138" s="168" t="s">
        <v>151</v>
      </c>
      <c r="H138" s="169">
        <f>H135+H137</f>
        <v>38.720200000000006</v>
      </c>
      <c r="L138" s="166"/>
      <c r="M138" s="170"/>
      <c r="N138" s="171"/>
      <c r="O138" s="171"/>
      <c r="P138" s="171"/>
      <c r="Q138" s="171"/>
      <c r="R138" s="171"/>
      <c r="S138" s="171"/>
      <c r="T138" s="172"/>
      <c r="AT138" s="167" t="s">
        <v>145</v>
      </c>
      <c r="AU138" s="167" t="s">
        <v>82</v>
      </c>
      <c r="AV138" s="15" t="s">
        <v>144</v>
      </c>
      <c r="AW138" s="15" t="s">
        <v>34</v>
      </c>
      <c r="AX138" s="15" t="s">
        <v>80</v>
      </c>
      <c r="AY138" s="167" t="s">
        <v>138</v>
      </c>
    </row>
    <row r="139" spans="1:65" s="2" customFormat="1" ht="24.2" customHeight="1">
      <c r="A139" s="31"/>
      <c r="B139" s="136"/>
      <c r="C139" s="137">
        <v>9</v>
      </c>
      <c r="D139" s="137" t="s">
        <v>141</v>
      </c>
      <c r="E139" s="138" t="s">
        <v>185</v>
      </c>
      <c r="F139" s="139" t="s">
        <v>186</v>
      </c>
      <c r="G139" s="140" t="s">
        <v>187</v>
      </c>
      <c r="H139" s="141">
        <f>H146</f>
        <v>13.530000000000001</v>
      </c>
      <c r="I139" s="142"/>
      <c r="J139" s="142">
        <f>ROUND(I139*H139,2)</f>
        <v>0</v>
      </c>
      <c r="K139" s="139" t="s">
        <v>148</v>
      </c>
      <c r="L139" s="32"/>
      <c r="M139" s="143" t="s">
        <v>3</v>
      </c>
      <c r="N139" s="144" t="s">
        <v>43</v>
      </c>
      <c r="O139" s="145">
        <v>0.12</v>
      </c>
      <c r="P139" s="145">
        <f>O139*H139</f>
        <v>1.6236000000000002</v>
      </c>
      <c r="Q139" s="145">
        <v>8.0000000000000007E-5</v>
      </c>
      <c r="R139" s="145">
        <f>Q139*H139</f>
        <v>1.0824000000000001E-3</v>
      </c>
      <c r="S139" s="145">
        <v>0</v>
      </c>
      <c r="T139" s="146">
        <f>S139*H139</f>
        <v>0</v>
      </c>
      <c r="U139" s="31"/>
      <c r="V139" s="31"/>
      <c r="W139" s="31"/>
      <c r="X139" s="31"/>
      <c r="Y139" s="31"/>
      <c r="Z139" s="31"/>
      <c r="AA139" s="31"/>
      <c r="AB139" s="31"/>
      <c r="AC139" s="31"/>
      <c r="AD139" s="31"/>
      <c r="AE139" s="31"/>
      <c r="AR139" s="147" t="s">
        <v>144</v>
      </c>
      <c r="AT139" s="147" t="s">
        <v>141</v>
      </c>
      <c r="AU139" s="147" t="s">
        <v>82</v>
      </c>
      <c r="AY139" s="19" t="s">
        <v>138</v>
      </c>
      <c r="BE139" s="148">
        <f>IF(N139="základní",J139,0)</f>
        <v>0</v>
      </c>
      <c r="BF139" s="148">
        <f>IF(N139="snížená",J139,0)</f>
        <v>0</v>
      </c>
      <c r="BG139" s="148">
        <f>IF(N139="zákl. přenesená",J139,0)</f>
        <v>0</v>
      </c>
      <c r="BH139" s="148">
        <f>IF(N139="sníž. přenesená",J139,0)</f>
        <v>0</v>
      </c>
      <c r="BI139" s="148">
        <f>IF(N139="nulová",J139,0)</f>
        <v>0</v>
      </c>
      <c r="BJ139" s="19" t="s">
        <v>80</v>
      </c>
      <c r="BK139" s="148">
        <f>ROUND(I139*H139,2)</f>
        <v>0</v>
      </c>
      <c r="BL139" s="19" t="s">
        <v>144</v>
      </c>
      <c r="BM139" s="147" t="s">
        <v>188</v>
      </c>
    </row>
    <row r="140" spans="1:65" s="2" customFormat="1" ht="78">
      <c r="A140" s="31"/>
      <c r="B140" s="32"/>
      <c r="C140" s="31"/>
      <c r="D140" s="150" t="s">
        <v>149</v>
      </c>
      <c r="E140" s="31"/>
      <c r="F140" s="163" t="s">
        <v>189</v>
      </c>
      <c r="G140" s="31"/>
      <c r="H140" s="31"/>
      <c r="I140" s="31"/>
      <c r="J140" s="31"/>
      <c r="K140" s="31"/>
      <c r="L140" s="32"/>
      <c r="M140" s="164"/>
      <c r="N140" s="165"/>
      <c r="O140" s="52"/>
      <c r="P140" s="52"/>
      <c r="Q140" s="52"/>
      <c r="R140" s="52"/>
      <c r="S140" s="52"/>
      <c r="T140" s="53"/>
      <c r="U140" s="31"/>
      <c r="V140" s="31"/>
      <c r="W140" s="31"/>
      <c r="X140" s="31"/>
      <c r="Y140" s="31"/>
      <c r="Z140" s="31"/>
      <c r="AA140" s="31"/>
      <c r="AB140" s="31"/>
      <c r="AC140" s="31"/>
      <c r="AD140" s="31"/>
      <c r="AE140" s="31"/>
      <c r="AT140" s="19" t="s">
        <v>149</v>
      </c>
      <c r="AU140" s="19" t="s">
        <v>82</v>
      </c>
    </row>
    <row r="141" spans="1:65" s="13" customFormat="1">
      <c r="B141" s="149"/>
      <c r="D141" s="150" t="s">
        <v>145</v>
      </c>
      <c r="E141" s="151" t="s">
        <v>3</v>
      </c>
      <c r="F141" s="152" t="s">
        <v>146</v>
      </c>
      <c r="H141" s="151" t="s">
        <v>3</v>
      </c>
      <c r="L141" s="149"/>
      <c r="M141" s="153"/>
      <c r="N141" s="154"/>
      <c r="O141" s="154"/>
      <c r="P141" s="154"/>
      <c r="Q141" s="154"/>
      <c r="R141" s="154"/>
      <c r="S141" s="154"/>
      <c r="T141" s="155"/>
      <c r="AT141" s="151" t="s">
        <v>145</v>
      </c>
      <c r="AU141" s="151" t="s">
        <v>82</v>
      </c>
      <c r="AV141" s="13" t="s">
        <v>80</v>
      </c>
      <c r="AW141" s="13" t="s">
        <v>34</v>
      </c>
      <c r="AX141" s="13" t="s">
        <v>72</v>
      </c>
      <c r="AY141" s="151" t="s">
        <v>138</v>
      </c>
    </row>
    <row r="142" spans="1:65" s="13" customFormat="1">
      <c r="B142" s="149"/>
      <c r="D142" s="150" t="s">
        <v>145</v>
      </c>
      <c r="E142" s="151" t="s">
        <v>3</v>
      </c>
      <c r="F142" s="152" t="s">
        <v>156</v>
      </c>
      <c r="H142" s="151" t="s">
        <v>3</v>
      </c>
      <c r="L142" s="149"/>
      <c r="M142" s="153"/>
      <c r="N142" s="154"/>
      <c r="O142" s="154"/>
      <c r="P142" s="154"/>
      <c r="Q142" s="154"/>
      <c r="R142" s="154"/>
      <c r="S142" s="154"/>
      <c r="T142" s="155"/>
      <c r="AT142" s="151" t="s">
        <v>145</v>
      </c>
      <c r="AU142" s="151" t="s">
        <v>82</v>
      </c>
      <c r="AV142" s="13" t="s">
        <v>80</v>
      </c>
      <c r="AW142" s="13" t="s">
        <v>34</v>
      </c>
      <c r="AX142" s="13" t="s">
        <v>72</v>
      </c>
      <c r="AY142" s="151" t="s">
        <v>138</v>
      </c>
    </row>
    <row r="143" spans="1:65" s="14" customFormat="1">
      <c r="B143" s="156"/>
      <c r="D143" s="150" t="s">
        <v>145</v>
      </c>
      <c r="E143" s="157" t="s">
        <v>3</v>
      </c>
      <c r="F143" s="158" t="s">
        <v>1426</v>
      </c>
      <c r="H143" s="159">
        <f>1.88+1.84+1.78+2.57+1</f>
        <v>9.07</v>
      </c>
      <c r="L143" s="156"/>
      <c r="M143" s="160"/>
      <c r="N143" s="161"/>
      <c r="O143" s="161"/>
      <c r="P143" s="161"/>
      <c r="Q143" s="161"/>
      <c r="R143" s="161"/>
      <c r="S143" s="161"/>
      <c r="T143" s="162"/>
      <c r="AT143" s="157" t="s">
        <v>145</v>
      </c>
      <c r="AU143" s="157" t="s">
        <v>82</v>
      </c>
      <c r="AV143" s="14" t="s">
        <v>82</v>
      </c>
      <c r="AW143" s="14" t="s">
        <v>34</v>
      </c>
      <c r="AX143" s="14" t="s">
        <v>72</v>
      </c>
      <c r="AY143" s="157" t="s">
        <v>138</v>
      </c>
    </row>
    <row r="144" spans="1:65" s="13" customFormat="1">
      <c r="B144" s="149"/>
      <c r="D144" s="150" t="s">
        <v>145</v>
      </c>
      <c r="E144" s="151" t="s">
        <v>3</v>
      </c>
      <c r="F144" s="152" t="s">
        <v>157</v>
      </c>
      <c r="H144" s="151" t="s">
        <v>3</v>
      </c>
      <c r="L144" s="149"/>
      <c r="M144" s="153"/>
      <c r="N144" s="154"/>
      <c r="O144" s="154"/>
      <c r="P144" s="154"/>
      <c r="Q144" s="154"/>
      <c r="R144" s="154"/>
      <c r="S144" s="154"/>
      <c r="T144" s="155"/>
      <c r="AT144" s="151" t="s">
        <v>145</v>
      </c>
      <c r="AU144" s="151" t="s">
        <v>82</v>
      </c>
      <c r="AV144" s="13" t="s">
        <v>80</v>
      </c>
      <c r="AW144" s="13" t="s">
        <v>34</v>
      </c>
      <c r="AX144" s="13" t="s">
        <v>72</v>
      </c>
      <c r="AY144" s="151" t="s">
        <v>138</v>
      </c>
    </row>
    <row r="145" spans="1:65" s="14" customFormat="1">
      <c r="B145" s="156"/>
      <c r="D145" s="150" t="s">
        <v>145</v>
      </c>
      <c r="E145" s="157" t="s">
        <v>3</v>
      </c>
      <c r="F145" s="158" t="s">
        <v>1427</v>
      </c>
      <c r="H145" s="159">
        <f>2.23+2.23</f>
        <v>4.46</v>
      </c>
      <c r="L145" s="156"/>
      <c r="M145" s="160"/>
      <c r="N145" s="161"/>
      <c r="O145" s="161"/>
      <c r="P145" s="161"/>
      <c r="Q145" s="161"/>
      <c r="R145" s="161"/>
      <c r="S145" s="161"/>
      <c r="T145" s="162"/>
      <c r="AT145" s="157" t="s">
        <v>145</v>
      </c>
      <c r="AU145" s="157" t="s">
        <v>82</v>
      </c>
      <c r="AV145" s="14" t="s">
        <v>82</v>
      </c>
      <c r="AW145" s="14" t="s">
        <v>34</v>
      </c>
      <c r="AX145" s="14" t="s">
        <v>72</v>
      </c>
      <c r="AY145" s="157" t="s">
        <v>138</v>
      </c>
    </row>
    <row r="146" spans="1:65" s="15" customFormat="1">
      <c r="B146" s="166"/>
      <c r="D146" s="150" t="s">
        <v>145</v>
      </c>
      <c r="E146" s="167" t="s">
        <v>3</v>
      </c>
      <c r="F146" s="168" t="s">
        <v>151</v>
      </c>
      <c r="H146" s="169">
        <f>H143+H145</f>
        <v>13.530000000000001</v>
      </c>
      <c r="L146" s="166"/>
      <c r="M146" s="170"/>
      <c r="N146" s="171"/>
      <c r="O146" s="171"/>
      <c r="P146" s="171"/>
      <c r="Q146" s="171"/>
      <c r="R146" s="171"/>
      <c r="S146" s="171"/>
      <c r="T146" s="172"/>
      <c r="AT146" s="167" t="s">
        <v>145</v>
      </c>
      <c r="AU146" s="167" t="s">
        <v>82</v>
      </c>
      <c r="AV146" s="15" t="s">
        <v>144</v>
      </c>
      <c r="AW146" s="15" t="s">
        <v>34</v>
      </c>
      <c r="AX146" s="15" t="s">
        <v>80</v>
      </c>
      <c r="AY146" s="167" t="s">
        <v>138</v>
      </c>
    </row>
    <row r="147" spans="1:65" s="2" customFormat="1" ht="24.2" customHeight="1">
      <c r="A147" s="31"/>
      <c r="B147" s="136"/>
      <c r="C147" s="137">
        <v>10</v>
      </c>
      <c r="D147" s="137" t="s">
        <v>141</v>
      </c>
      <c r="E147" s="138" t="s">
        <v>192</v>
      </c>
      <c r="F147" s="139" t="s">
        <v>193</v>
      </c>
      <c r="G147" s="140" t="s">
        <v>187</v>
      </c>
      <c r="H147" s="141">
        <f>H154</f>
        <v>35.18</v>
      </c>
      <c r="I147" s="142"/>
      <c r="J147" s="142">
        <f>ROUND(I147*H147,2)</f>
        <v>0</v>
      </c>
      <c r="K147" s="139" t="s">
        <v>148</v>
      </c>
      <c r="L147" s="32"/>
      <c r="M147" s="143" t="s">
        <v>3</v>
      </c>
      <c r="N147" s="144" t="s">
        <v>43</v>
      </c>
      <c r="O147" s="145">
        <v>0.2</v>
      </c>
      <c r="P147" s="145">
        <f>O147*H147</f>
        <v>7.0360000000000005</v>
      </c>
      <c r="Q147" s="145">
        <v>1.2999999999999999E-4</v>
      </c>
      <c r="R147" s="145">
        <f>Q147*H147</f>
        <v>4.5733999999999992E-3</v>
      </c>
      <c r="S147" s="145">
        <v>0</v>
      </c>
      <c r="T147" s="146">
        <f>S147*H147</f>
        <v>0</v>
      </c>
      <c r="U147" s="31"/>
      <c r="V147" s="31"/>
      <c r="W147" s="31"/>
      <c r="X147" s="31"/>
      <c r="Y147" s="31"/>
      <c r="Z147" s="31"/>
      <c r="AA147" s="31"/>
      <c r="AB147" s="31"/>
      <c r="AC147" s="31"/>
      <c r="AD147" s="31"/>
      <c r="AE147" s="31"/>
      <c r="AR147" s="147" t="s">
        <v>144</v>
      </c>
      <c r="AT147" s="147" t="s">
        <v>141</v>
      </c>
      <c r="AU147" s="147" t="s">
        <v>82</v>
      </c>
      <c r="AY147" s="19" t="s">
        <v>138</v>
      </c>
      <c r="BE147" s="148">
        <f>IF(N147="základní",J147,0)</f>
        <v>0</v>
      </c>
      <c r="BF147" s="148">
        <f>IF(N147="snížená",J147,0)</f>
        <v>0</v>
      </c>
      <c r="BG147" s="148">
        <f>IF(N147="zákl. přenesená",J147,0)</f>
        <v>0</v>
      </c>
      <c r="BH147" s="148">
        <f>IF(N147="sníž. přenesená",J147,0)</f>
        <v>0</v>
      </c>
      <c r="BI147" s="148">
        <f>IF(N147="nulová",J147,0)</f>
        <v>0</v>
      </c>
      <c r="BJ147" s="19" t="s">
        <v>80</v>
      </c>
      <c r="BK147" s="148">
        <f>ROUND(I147*H147,2)</f>
        <v>0</v>
      </c>
      <c r="BL147" s="19" t="s">
        <v>144</v>
      </c>
      <c r="BM147" s="147" t="s">
        <v>194</v>
      </c>
    </row>
    <row r="148" spans="1:65" s="2" customFormat="1" ht="78">
      <c r="A148" s="31"/>
      <c r="B148" s="32"/>
      <c r="C148" s="31"/>
      <c r="D148" s="150" t="s">
        <v>149</v>
      </c>
      <c r="E148" s="31"/>
      <c r="F148" s="163" t="s">
        <v>189</v>
      </c>
      <c r="G148" s="31"/>
      <c r="H148" s="31"/>
      <c r="I148" s="31"/>
      <c r="J148" s="31"/>
      <c r="K148" s="31"/>
      <c r="L148" s="32"/>
      <c r="M148" s="164"/>
      <c r="N148" s="165"/>
      <c r="O148" s="52"/>
      <c r="P148" s="52"/>
      <c r="Q148" s="52"/>
      <c r="R148" s="52"/>
      <c r="S148" s="52"/>
      <c r="T148" s="53"/>
      <c r="U148" s="31"/>
      <c r="V148" s="31"/>
      <c r="W148" s="31"/>
      <c r="X148" s="31"/>
      <c r="Y148" s="31"/>
      <c r="Z148" s="31"/>
      <c r="AA148" s="31"/>
      <c r="AB148" s="31"/>
      <c r="AC148" s="31"/>
      <c r="AD148" s="31"/>
      <c r="AE148" s="31"/>
      <c r="AT148" s="19" t="s">
        <v>149</v>
      </c>
      <c r="AU148" s="19" t="s">
        <v>82</v>
      </c>
    </row>
    <row r="149" spans="1:65" s="13" customFormat="1">
      <c r="B149" s="149"/>
      <c r="D149" s="150" t="s">
        <v>145</v>
      </c>
      <c r="E149" s="151" t="s">
        <v>3</v>
      </c>
      <c r="F149" s="152" t="s">
        <v>146</v>
      </c>
      <c r="H149" s="151" t="s">
        <v>3</v>
      </c>
      <c r="L149" s="149"/>
      <c r="M149" s="153"/>
      <c r="N149" s="154"/>
      <c r="O149" s="154"/>
      <c r="P149" s="154"/>
      <c r="Q149" s="154"/>
      <c r="R149" s="154"/>
      <c r="S149" s="154"/>
      <c r="T149" s="155"/>
      <c r="AT149" s="151" t="s">
        <v>145</v>
      </c>
      <c r="AU149" s="151" t="s">
        <v>82</v>
      </c>
      <c r="AV149" s="13" t="s">
        <v>80</v>
      </c>
      <c r="AW149" s="13" t="s">
        <v>34</v>
      </c>
      <c r="AX149" s="13" t="s">
        <v>72</v>
      </c>
      <c r="AY149" s="151" t="s">
        <v>138</v>
      </c>
    </row>
    <row r="150" spans="1:65" s="13" customFormat="1">
      <c r="B150" s="149"/>
      <c r="D150" s="150" t="s">
        <v>145</v>
      </c>
      <c r="E150" s="151" t="s">
        <v>3</v>
      </c>
      <c r="F150" s="152" t="s">
        <v>156</v>
      </c>
      <c r="H150" s="151" t="s">
        <v>3</v>
      </c>
      <c r="L150" s="149"/>
      <c r="M150" s="153"/>
      <c r="N150" s="154"/>
      <c r="O150" s="154"/>
      <c r="P150" s="154"/>
      <c r="Q150" s="154"/>
      <c r="R150" s="154"/>
      <c r="S150" s="154"/>
      <c r="T150" s="155"/>
      <c r="AT150" s="151" t="s">
        <v>145</v>
      </c>
      <c r="AU150" s="151" t="s">
        <v>82</v>
      </c>
      <c r="AV150" s="13" t="s">
        <v>80</v>
      </c>
      <c r="AW150" s="13" t="s">
        <v>34</v>
      </c>
      <c r="AX150" s="13" t="s">
        <v>72</v>
      </c>
      <c r="AY150" s="151" t="s">
        <v>138</v>
      </c>
    </row>
    <row r="151" spans="1:65" s="14" customFormat="1">
      <c r="B151" s="156"/>
      <c r="D151" s="150" t="s">
        <v>145</v>
      </c>
      <c r="E151" s="157" t="s">
        <v>3</v>
      </c>
      <c r="F151" s="158" t="s">
        <v>1424</v>
      </c>
      <c r="H151" s="159">
        <f>9*2.7</f>
        <v>24.3</v>
      </c>
      <c r="L151" s="156"/>
      <c r="M151" s="160"/>
      <c r="N151" s="161"/>
      <c r="O151" s="161"/>
      <c r="P151" s="161"/>
      <c r="Q151" s="161"/>
      <c r="R151" s="161"/>
      <c r="S151" s="161"/>
      <c r="T151" s="162"/>
      <c r="AT151" s="157" t="s">
        <v>145</v>
      </c>
      <c r="AU151" s="157" t="s">
        <v>82</v>
      </c>
      <c r="AV151" s="14" t="s">
        <v>82</v>
      </c>
      <c r="AW151" s="14" t="s">
        <v>34</v>
      </c>
      <c r="AX151" s="14" t="s">
        <v>72</v>
      </c>
      <c r="AY151" s="157" t="s">
        <v>138</v>
      </c>
    </row>
    <row r="152" spans="1:65" s="13" customFormat="1">
      <c r="B152" s="149"/>
      <c r="D152" s="150" t="s">
        <v>145</v>
      </c>
      <c r="E152" s="151" t="s">
        <v>3</v>
      </c>
      <c r="F152" s="152" t="s">
        <v>157</v>
      </c>
      <c r="H152" s="151" t="s">
        <v>3</v>
      </c>
      <c r="L152" s="149"/>
      <c r="M152" s="153"/>
      <c r="N152" s="154"/>
      <c r="O152" s="154"/>
      <c r="P152" s="154"/>
      <c r="Q152" s="154"/>
      <c r="R152" s="154"/>
      <c r="S152" s="154"/>
      <c r="T152" s="155"/>
      <c r="AT152" s="151" t="s">
        <v>145</v>
      </c>
      <c r="AU152" s="151" t="s">
        <v>82</v>
      </c>
      <c r="AV152" s="13" t="s">
        <v>80</v>
      </c>
      <c r="AW152" s="13" t="s">
        <v>34</v>
      </c>
      <c r="AX152" s="13" t="s">
        <v>72</v>
      </c>
      <c r="AY152" s="151" t="s">
        <v>138</v>
      </c>
    </row>
    <row r="153" spans="1:65" s="14" customFormat="1">
      <c r="B153" s="156"/>
      <c r="D153" s="150" t="s">
        <v>145</v>
      </c>
      <c r="E153" s="157" t="s">
        <v>3</v>
      </c>
      <c r="F153" s="158" t="s">
        <v>1425</v>
      </c>
      <c r="H153" s="159">
        <f>4*2.72</f>
        <v>10.88</v>
      </c>
      <c r="L153" s="156"/>
      <c r="M153" s="160"/>
      <c r="N153" s="161"/>
      <c r="O153" s="161"/>
      <c r="P153" s="161"/>
      <c r="Q153" s="161"/>
      <c r="R153" s="161"/>
      <c r="S153" s="161"/>
      <c r="T153" s="162"/>
      <c r="AT153" s="157" t="s">
        <v>145</v>
      </c>
      <c r="AU153" s="157" t="s">
        <v>82</v>
      </c>
      <c r="AV153" s="14" t="s">
        <v>82</v>
      </c>
      <c r="AW153" s="14" t="s">
        <v>34</v>
      </c>
      <c r="AX153" s="14" t="s">
        <v>72</v>
      </c>
      <c r="AY153" s="157" t="s">
        <v>138</v>
      </c>
    </row>
    <row r="154" spans="1:65" s="15" customFormat="1">
      <c r="B154" s="166"/>
      <c r="D154" s="150" t="s">
        <v>145</v>
      </c>
      <c r="E154" s="167" t="s">
        <v>3</v>
      </c>
      <c r="F154" s="168" t="s">
        <v>151</v>
      </c>
      <c r="H154" s="169">
        <f>H151+H153</f>
        <v>35.18</v>
      </c>
      <c r="L154" s="166"/>
      <c r="M154" s="170"/>
      <c r="N154" s="171"/>
      <c r="O154" s="171"/>
      <c r="P154" s="171"/>
      <c r="Q154" s="171"/>
      <c r="R154" s="171"/>
      <c r="S154" s="171"/>
      <c r="T154" s="172"/>
      <c r="AT154" s="167" t="s">
        <v>145</v>
      </c>
      <c r="AU154" s="167" t="s">
        <v>82</v>
      </c>
      <c r="AV154" s="15" t="s">
        <v>144</v>
      </c>
      <c r="AW154" s="15" t="s">
        <v>34</v>
      </c>
      <c r="AX154" s="15" t="s">
        <v>80</v>
      </c>
      <c r="AY154" s="167" t="s">
        <v>138</v>
      </c>
    </row>
    <row r="155" spans="1:65" s="2" customFormat="1" ht="37.9" customHeight="1">
      <c r="A155" s="31"/>
      <c r="B155" s="136"/>
      <c r="C155" s="137">
        <v>11</v>
      </c>
      <c r="D155" s="137" t="s">
        <v>141</v>
      </c>
      <c r="E155" s="138" t="s">
        <v>195</v>
      </c>
      <c r="F155" s="139" t="s">
        <v>196</v>
      </c>
      <c r="G155" s="140" t="s">
        <v>173</v>
      </c>
      <c r="H155" s="141">
        <f>H157</f>
        <v>2.12</v>
      </c>
      <c r="I155" s="142"/>
      <c r="J155" s="142">
        <f>ROUND(I155*H155,2)</f>
        <v>0</v>
      </c>
      <c r="K155" s="139" t="s">
        <v>148</v>
      </c>
      <c r="L155" s="32"/>
      <c r="M155" s="143" t="s">
        <v>3</v>
      </c>
      <c r="N155" s="144" t="s">
        <v>43</v>
      </c>
      <c r="O155" s="145">
        <v>1.21</v>
      </c>
      <c r="P155" s="145">
        <f>O155*H155</f>
        <v>2.5651999999999999</v>
      </c>
      <c r="Q155" s="145">
        <v>0.17818000000000001</v>
      </c>
      <c r="R155" s="145">
        <f>Q155*H155</f>
        <v>0.37774160000000001</v>
      </c>
      <c r="S155" s="145">
        <v>0</v>
      </c>
      <c r="T155" s="146">
        <f>S155*H155</f>
        <v>0</v>
      </c>
      <c r="U155" s="31"/>
      <c r="V155" s="31"/>
      <c r="W155" s="31"/>
      <c r="X155" s="31"/>
      <c r="Y155" s="31"/>
      <c r="Z155" s="31"/>
      <c r="AA155" s="31"/>
      <c r="AB155" s="31"/>
      <c r="AC155" s="31"/>
      <c r="AD155" s="31"/>
      <c r="AE155" s="31"/>
      <c r="AR155" s="147" t="s">
        <v>144</v>
      </c>
      <c r="AT155" s="147" t="s">
        <v>141</v>
      </c>
      <c r="AU155" s="147" t="s">
        <v>82</v>
      </c>
      <c r="AY155" s="19" t="s">
        <v>138</v>
      </c>
      <c r="BE155" s="148">
        <f>IF(N155="základní",J155,0)</f>
        <v>0</v>
      </c>
      <c r="BF155" s="148">
        <f>IF(N155="snížená",J155,0)</f>
        <v>0</v>
      </c>
      <c r="BG155" s="148">
        <f>IF(N155="zákl. přenesená",J155,0)</f>
        <v>0</v>
      </c>
      <c r="BH155" s="148">
        <f>IF(N155="sníž. přenesená",J155,0)</f>
        <v>0</v>
      </c>
      <c r="BI155" s="148">
        <f>IF(N155="nulová",J155,0)</f>
        <v>0</v>
      </c>
      <c r="BJ155" s="19" t="s">
        <v>80</v>
      </c>
      <c r="BK155" s="148">
        <f>ROUND(I155*H155,2)</f>
        <v>0</v>
      </c>
      <c r="BL155" s="19" t="s">
        <v>144</v>
      </c>
      <c r="BM155" s="147" t="s">
        <v>197</v>
      </c>
    </row>
    <row r="156" spans="1:65" s="13" customFormat="1">
      <c r="B156" s="149"/>
      <c r="D156" s="150" t="s">
        <v>145</v>
      </c>
      <c r="E156" s="151" t="s">
        <v>3</v>
      </c>
      <c r="F156" s="152" t="s">
        <v>198</v>
      </c>
      <c r="H156" s="151" t="s">
        <v>3</v>
      </c>
      <c r="L156" s="149"/>
      <c r="M156" s="153"/>
      <c r="N156" s="154"/>
      <c r="O156" s="154"/>
      <c r="P156" s="154"/>
      <c r="Q156" s="154"/>
      <c r="R156" s="154"/>
      <c r="S156" s="154"/>
      <c r="T156" s="155"/>
      <c r="AT156" s="151" t="s">
        <v>145</v>
      </c>
      <c r="AU156" s="151" t="s">
        <v>82</v>
      </c>
      <c r="AV156" s="13" t="s">
        <v>80</v>
      </c>
      <c r="AW156" s="13" t="s">
        <v>34</v>
      </c>
      <c r="AX156" s="13" t="s">
        <v>72</v>
      </c>
      <c r="AY156" s="151" t="s">
        <v>138</v>
      </c>
    </row>
    <row r="157" spans="1:65" s="14" customFormat="1">
      <c r="B157" s="156"/>
      <c r="D157" s="150" t="s">
        <v>145</v>
      </c>
      <c r="E157" s="157" t="s">
        <v>3</v>
      </c>
      <c r="F157" s="158" t="s">
        <v>1428</v>
      </c>
      <c r="H157" s="159">
        <f>2*(1*1.2+1*2.1+2*1)*0.2</f>
        <v>2.12</v>
      </c>
      <c r="L157" s="156"/>
      <c r="M157" s="160"/>
      <c r="N157" s="161"/>
      <c r="O157" s="161"/>
      <c r="P157" s="161"/>
      <c r="Q157" s="161"/>
      <c r="R157" s="161"/>
      <c r="S157" s="161"/>
      <c r="T157" s="162"/>
      <c r="AT157" s="157" t="s">
        <v>145</v>
      </c>
      <c r="AU157" s="157" t="s">
        <v>82</v>
      </c>
      <c r="AV157" s="14" t="s">
        <v>82</v>
      </c>
      <c r="AW157" s="14" t="s">
        <v>34</v>
      </c>
      <c r="AX157" s="14" t="s">
        <v>80</v>
      </c>
      <c r="AY157" s="157" t="s">
        <v>138</v>
      </c>
    </row>
    <row r="158" spans="1:65" s="12" customFormat="1" ht="22.9" customHeight="1">
      <c r="B158" s="124"/>
      <c r="D158" s="125" t="s">
        <v>71</v>
      </c>
      <c r="E158" s="134" t="s">
        <v>169</v>
      </c>
      <c r="F158" s="134" t="s">
        <v>199</v>
      </c>
      <c r="J158" s="135">
        <f>BK158</f>
        <v>0</v>
      </c>
      <c r="L158" s="124"/>
      <c r="M158" s="128"/>
      <c r="N158" s="129"/>
      <c r="O158" s="129"/>
      <c r="P158" s="130">
        <f>SUM(P159:P183)</f>
        <v>94.0625</v>
      </c>
      <c r="Q158" s="129"/>
      <c r="R158" s="130">
        <f>SUM(R159:R183)</f>
        <v>2.8683940000000003</v>
      </c>
      <c r="S158" s="129"/>
      <c r="T158" s="131">
        <f>SUM(T159:T183)</f>
        <v>0</v>
      </c>
      <c r="AR158" s="125" t="s">
        <v>80</v>
      </c>
      <c r="AT158" s="132" t="s">
        <v>71</v>
      </c>
      <c r="AU158" s="132" t="s">
        <v>80</v>
      </c>
      <c r="AY158" s="125" t="s">
        <v>138</v>
      </c>
      <c r="BK158" s="133">
        <f>SUM(BK159:BK183)</f>
        <v>0</v>
      </c>
    </row>
    <row r="159" spans="1:65" s="2" customFormat="1" ht="24.2" customHeight="1">
      <c r="A159" s="31"/>
      <c r="B159" s="136"/>
      <c r="C159" s="137">
        <v>12</v>
      </c>
      <c r="D159" s="137" t="s">
        <v>141</v>
      </c>
      <c r="E159" s="138" t="s">
        <v>215</v>
      </c>
      <c r="F159" s="139" t="s">
        <v>216</v>
      </c>
      <c r="G159" s="140" t="s">
        <v>173</v>
      </c>
      <c r="H159" s="141">
        <f>H165</f>
        <v>124.51999999999998</v>
      </c>
      <c r="I159" s="142"/>
      <c r="J159" s="142">
        <f>ROUND(I159*H159,2)</f>
        <v>0</v>
      </c>
      <c r="K159" s="139" t="s">
        <v>148</v>
      </c>
      <c r="L159" s="32"/>
      <c r="M159" s="143" t="s">
        <v>3</v>
      </c>
      <c r="N159" s="144" t="s">
        <v>43</v>
      </c>
      <c r="O159" s="145">
        <v>0.25</v>
      </c>
      <c r="P159" s="145">
        <f>O159*H159</f>
        <v>31.129999999999995</v>
      </c>
      <c r="Q159" s="145">
        <v>1.0200000000000001E-2</v>
      </c>
      <c r="R159" s="145">
        <f>Q159*H159</f>
        <v>1.2701039999999999</v>
      </c>
      <c r="S159" s="145">
        <v>0</v>
      </c>
      <c r="T159" s="146">
        <f>S159*H159</f>
        <v>0</v>
      </c>
      <c r="U159" s="31"/>
      <c r="V159" s="31"/>
      <c r="W159" s="31"/>
      <c r="X159" s="31"/>
      <c r="Y159" s="31"/>
      <c r="Z159" s="31"/>
      <c r="AA159" s="31"/>
      <c r="AB159" s="31"/>
      <c r="AC159" s="31"/>
      <c r="AD159" s="31"/>
      <c r="AE159" s="31"/>
      <c r="AR159" s="147" t="s">
        <v>144</v>
      </c>
      <c r="AT159" s="147" t="s">
        <v>141</v>
      </c>
      <c r="AU159" s="147" t="s">
        <v>82</v>
      </c>
      <c r="AY159" s="19" t="s">
        <v>138</v>
      </c>
      <c r="BE159" s="148">
        <f>IF(N159="základní",J159,0)</f>
        <v>0</v>
      </c>
      <c r="BF159" s="148">
        <f>IF(N159="snížená",J159,0)</f>
        <v>0</v>
      </c>
      <c r="BG159" s="148">
        <f>IF(N159="zákl. přenesená",J159,0)</f>
        <v>0</v>
      </c>
      <c r="BH159" s="148">
        <f>IF(N159="sníž. přenesená",J159,0)</f>
        <v>0</v>
      </c>
      <c r="BI159" s="148">
        <f>IF(N159="nulová",J159,0)</f>
        <v>0</v>
      </c>
      <c r="BJ159" s="19" t="s">
        <v>80</v>
      </c>
      <c r="BK159" s="148">
        <f>ROUND(I159*H159,2)</f>
        <v>0</v>
      </c>
      <c r="BL159" s="19" t="s">
        <v>144</v>
      </c>
      <c r="BM159" s="147" t="s">
        <v>217</v>
      </c>
    </row>
    <row r="160" spans="1:65" s="13" customFormat="1">
      <c r="B160" s="149"/>
      <c r="D160" s="150" t="s">
        <v>145</v>
      </c>
      <c r="E160" s="151" t="s">
        <v>3</v>
      </c>
      <c r="F160" s="152" t="s">
        <v>218</v>
      </c>
      <c r="H160" s="151" t="s">
        <v>3</v>
      </c>
      <c r="L160" s="149"/>
      <c r="M160" s="153"/>
      <c r="N160" s="154"/>
      <c r="O160" s="154"/>
      <c r="P160" s="154"/>
      <c r="Q160" s="154"/>
      <c r="R160" s="154"/>
      <c r="S160" s="154"/>
      <c r="T160" s="155"/>
      <c r="AT160" s="151" t="s">
        <v>145</v>
      </c>
      <c r="AU160" s="151" t="s">
        <v>82</v>
      </c>
      <c r="AV160" s="13" t="s">
        <v>80</v>
      </c>
      <c r="AW160" s="13" t="s">
        <v>34</v>
      </c>
      <c r="AX160" s="13" t="s">
        <v>72</v>
      </c>
      <c r="AY160" s="151" t="s">
        <v>138</v>
      </c>
    </row>
    <row r="161" spans="1:65" s="13" customFormat="1">
      <c r="B161" s="149"/>
      <c r="D161" s="150" t="s">
        <v>145</v>
      </c>
      <c r="E161" s="151" t="s">
        <v>3</v>
      </c>
      <c r="F161" s="152" t="s">
        <v>156</v>
      </c>
      <c r="H161" s="151" t="s">
        <v>3</v>
      </c>
      <c r="L161" s="149"/>
      <c r="M161" s="153"/>
      <c r="N161" s="154"/>
      <c r="O161" s="154"/>
      <c r="P161" s="154"/>
      <c r="Q161" s="154"/>
      <c r="R161" s="154"/>
      <c r="S161" s="154"/>
      <c r="T161" s="155"/>
      <c r="AT161" s="151" t="s">
        <v>145</v>
      </c>
      <c r="AU161" s="151" t="s">
        <v>82</v>
      </c>
      <c r="AV161" s="13" t="s">
        <v>80</v>
      </c>
      <c r="AW161" s="13" t="s">
        <v>34</v>
      </c>
      <c r="AX161" s="13" t="s">
        <v>72</v>
      </c>
      <c r="AY161" s="151" t="s">
        <v>138</v>
      </c>
    </row>
    <row r="162" spans="1:65" s="14" customFormat="1" ht="22.5">
      <c r="B162" s="156"/>
      <c r="D162" s="150" t="s">
        <v>145</v>
      </c>
      <c r="E162" s="157" t="s">
        <v>3</v>
      </c>
      <c r="F162" s="158" t="s">
        <v>1431</v>
      </c>
      <c r="H162" s="159">
        <f>H189</f>
        <v>110.03999999999998</v>
      </c>
      <c r="L162" s="156"/>
      <c r="M162" s="160"/>
      <c r="N162" s="161"/>
      <c r="O162" s="161"/>
      <c r="P162" s="161"/>
      <c r="Q162" s="161"/>
      <c r="R162" s="161"/>
      <c r="S162" s="161"/>
      <c r="T162" s="162"/>
      <c r="AT162" s="157" t="s">
        <v>145</v>
      </c>
      <c r="AU162" s="157" t="s">
        <v>82</v>
      </c>
      <c r="AV162" s="14" t="s">
        <v>82</v>
      </c>
      <c r="AW162" s="14" t="s">
        <v>34</v>
      </c>
      <c r="AX162" s="14" t="s">
        <v>72</v>
      </c>
      <c r="AY162" s="157" t="s">
        <v>138</v>
      </c>
    </row>
    <row r="163" spans="1:65" s="13" customFormat="1">
      <c r="B163" s="149"/>
      <c r="D163" s="150" t="s">
        <v>145</v>
      </c>
      <c r="E163" s="151" t="s">
        <v>3</v>
      </c>
      <c r="F163" s="152" t="s">
        <v>157</v>
      </c>
      <c r="H163" s="151" t="s">
        <v>3</v>
      </c>
      <c r="L163" s="149"/>
      <c r="M163" s="153"/>
      <c r="N163" s="154"/>
      <c r="O163" s="154"/>
      <c r="P163" s="154"/>
      <c r="Q163" s="154"/>
      <c r="R163" s="154"/>
      <c r="S163" s="154"/>
      <c r="T163" s="155"/>
      <c r="AT163" s="151" t="s">
        <v>145</v>
      </c>
      <c r="AU163" s="151" t="s">
        <v>82</v>
      </c>
      <c r="AV163" s="13" t="s">
        <v>80</v>
      </c>
      <c r="AW163" s="13" t="s">
        <v>34</v>
      </c>
      <c r="AX163" s="13" t="s">
        <v>72</v>
      </c>
      <c r="AY163" s="151" t="s">
        <v>138</v>
      </c>
    </row>
    <row r="164" spans="1:65" s="14" customFormat="1">
      <c r="B164" s="156"/>
      <c r="D164" s="150" t="s">
        <v>145</v>
      </c>
      <c r="E164" s="157" t="s">
        <v>3</v>
      </c>
      <c r="F164" s="158" t="str">
        <f>F206</f>
        <v>2,93+2,70+2,99+1,87+3,99</v>
      </c>
      <c r="H164" s="159">
        <f>H206</f>
        <v>14.480000000000002</v>
      </c>
      <c r="L164" s="156"/>
      <c r="M164" s="160"/>
      <c r="N164" s="161"/>
      <c r="O164" s="161"/>
      <c r="P164" s="161"/>
      <c r="Q164" s="161"/>
      <c r="R164" s="161"/>
      <c r="S164" s="161"/>
      <c r="T164" s="162"/>
      <c r="AT164" s="157" t="s">
        <v>145</v>
      </c>
      <c r="AU164" s="157" t="s">
        <v>82</v>
      </c>
      <c r="AV164" s="14" t="s">
        <v>82</v>
      </c>
      <c r="AW164" s="14" t="s">
        <v>34</v>
      </c>
      <c r="AX164" s="14" t="s">
        <v>72</v>
      </c>
      <c r="AY164" s="157" t="s">
        <v>138</v>
      </c>
    </row>
    <row r="165" spans="1:65" s="15" customFormat="1">
      <c r="B165" s="166"/>
      <c r="D165" s="150" t="s">
        <v>145</v>
      </c>
      <c r="E165" s="167" t="s">
        <v>3</v>
      </c>
      <c r="F165" s="168" t="s">
        <v>151</v>
      </c>
      <c r="H165" s="169">
        <f>H162+H164</f>
        <v>124.51999999999998</v>
      </c>
      <c r="L165" s="166"/>
      <c r="M165" s="170"/>
      <c r="N165" s="171"/>
      <c r="O165" s="171"/>
      <c r="P165" s="171"/>
      <c r="Q165" s="171"/>
      <c r="R165" s="171"/>
      <c r="S165" s="171"/>
      <c r="T165" s="172"/>
      <c r="AT165" s="167" t="s">
        <v>145</v>
      </c>
      <c r="AU165" s="167" t="s">
        <v>82</v>
      </c>
      <c r="AV165" s="15" t="s">
        <v>144</v>
      </c>
      <c r="AW165" s="15" t="s">
        <v>34</v>
      </c>
      <c r="AX165" s="15" t="s">
        <v>80</v>
      </c>
      <c r="AY165" s="167" t="s">
        <v>138</v>
      </c>
    </row>
    <row r="166" spans="1:65" s="2" customFormat="1" ht="24.2" customHeight="1">
      <c r="A166" s="31"/>
      <c r="B166" s="136"/>
      <c r="C166" s="137">
        <v>13</v>
      </c>
      <c r="D166" s="137" t="s">
        <v>141</v>
      </c>
      <c r="E166" s="138" t="s">
        <v>221</v>
      </c>
      <c r="F166" s="139" t="s">
        <v>222</v>
      </c>
      <c r="G166" s="140" t="s">
        <v>173</v>
      </c>
      <c r="H166" s="141">
        <f>H185-H159</f>
        <v>86.860000000000014</v>
      </c>
      <c r="I166" s="142"/>
      <c r="J166" s="142">
        <f>ROUND(I166*H166,2)</f>
        <v>0</v>
      </c>
      <c r="K166" s="139" t="s">
        <v>148</v>
      </c>
      <c r="L166" s="32"/>
      <c r="M166" s="143" t="s">
        <v>3</v>
      </c>
      <c r="N166" s="144" t="s">
        <v>43</v>
      </c>
      <c r="O166" s="145">
        <v>0.127</v>
      </c>
      <c r="P166" s="145">
        <f>O166*H166</f>
        <v>11.031220000000001</v>
      </c>
      <c r="Q166" s="145">
        <v>0</v>
      </c>
      <c r="R166" s="145">
        <f>Q166*H166</f>
        <v>0</v>
      </c>
      <c r="S166" s="145">
        <v>0</v>
      </c>
      <c r="T166" s="146">
        <f>S166*H166</f>
        <v>0</v>
      </c>
      <c r="U166" s="31"/>
      <c r="V166" s="31"/>
      <c r="W166" s="31"/>
      <c r="X166" s="31"/>
      <c r="Y166" s="31"/>
      <c r="Z166" s="31"/>
      <c r="AA166" s="31"/>
      <c r="AB166" s="31"/>
      <c r="AC166" s="31"/>
      <c r="AD166" s="31"/>
      <c r="AE166" s="31"/>
      <c r="AR166" s="147" t="s">
        <v>144</v>
      </c>
      <c r="AT166" s="147" t="s">
        <v>141</v>
      </c>
      <c r="AU166" s="147" t="s">
        <v>82</v>
      </c>
      <c r="AY166" s="19" t="s">
        <v>138</v>
      </c>
      <c r="BE166" s="148">
        <f>IF(N166="základní",J166,0)</f>
        <v>0</v>
      </c>
      <c r="BF166" s="148">
        <f>IF(N166="snížená",J166,0)</f>
        <v>0</v>
      </c>
      <c r="BG166" s="148">
        <f>IF(N166="zákl. přenesená",J166,0)</f>
        <v>0</v>
      </c>
      <c r="BH166" s="148">
        <f>IF(N166="sníž. přenesená",J166,0)</f>
        <v>0</v>
      </c>
      <c r="BI166" s="148">
        <f>IF(N166="nulová",J166,0)</f>
        <v>0</v>
      </c>
      <c r="BJ166" s="19" t="s">
        <v>80</v>
      </c>
      <c r="BK166" s="148">
        <f>ROUND(I166*H166,2)</f>
        <v>0</v>
      </c>
      <c r="BL166" s="19" t="s">
        <v>144</v>
      </c>
      <c r="BM166" s="147" t="s">
        <v>223</v>
      </c>
    </row>
    <row r="167" spans="1:65" s="2" customFormat="1" ht="24.2" customHeight="1">
      <c r="A167" s="31"/>
      <c r="B167" s="136"/>
      <c r="C167" s="137">
        <v>14</v>
      </c>
      <c r="D167" s="137" t="s">
        <v>141</v>
      </c>
      <c r="E167" s="138" t="s">
        <v>225</v>
      </c>
      <c r="F167" s="139" t="s">
        <v>226</v>
      </c>
      <c r="G167" s="140" t="s">
        <v>173</v>
      </c>
      <c r="H167" s="141">
        <f>H166</f>
        <v>86.860000000000014</v>
      </c>
      <c r="I167" s="142"/>
      <c r="J167" s="142">
        <f>ROUND(I167*H167,2)</f>
        <v>0</v>
      </c>
      <c r="K167" s="139" t="s">
        <v>148</v>
      </c>
      <c r="L167" s="32"/>
      <c r="M167" s="143" t="s">
        <v>3</v>
      </c>
      <c r="N167" s="144" t="s">
        <v>43</v>
      </c>
      <c r="O167" s="145">
        <v>9.8000000000000004E-2</v>
      </c>
      <c r="P167" s="145">
        <f>O167*H167</f>
        <v>8.5122800000000023</v>
      </c>
      <c r="Q167" s="145">
        <v>0</v>
      </c>
      <c r="R167" s="145">
        <f>Q167*H167</f>
        <v>0</v>
      </c>
      <c r="S167" s="145">
        <v>0</v>
      </c>
      <c r="T167" s="146">
        <f>S167*H167</f>
        <v>0</v>
      </c>
      <c r="U167" s="31"/>
      <c r="V167" s="31"/>
      <c r="W167" s="31"/>
      <c r="X167" s="31"/>
      <c r="Y167" s="31"/>
      <c r="Z167" s="31"/>
      <c r="AA167" s="31"/>
      <c r="AB167" s="31"/>
      <c r="AC167" s="31"/>
      <c r="AD167" s="31"/>
      <c r="AE167" s="31"/>
      <c r="AR167" s="147" t="s">
        <v>144</v>
      </c>
      <c r="AT167" s="147" t="s">
        <v>141</v>
      </c>
      <c r="AU167" s="147" t="s">
        <v>82</v>
      </c>
      <c r="AY167" s="19" t="s">
        <v>138</v>
      </c>
      <c r="BE167" s="148">
        <f>IF(N167="základní",J167,0)</f>
        <v>0</v>
      </c>
      <c r="BF167" s="148">
        <f>IF(N167="snížená",J167,0)</f>
        <v>0</v>
      </c>
      <c r="BG167" s="148">
        <f>IF(N167="zákl. přenesená",J167,0)</f>
        <v>0</v>
      </c>
      <c r="BH167" s="148">
        <f>IF(N167="sníž. přenesená",J167,0)</f>
        <v>0</v>
      </c>
      <c r="BI167" s="148">
        <f>IF(N167="nulová",J167,0)</f>
        <v>0</v>
      </c>
      <c r="BJ167" s="19" t="s">
        <v>80</v>
      </c>
      <c r="BK167" s="148">
        <f>ROUND(I167*H167,2)</f>
        <v>0</v>
      </c>
      <c r="BL167" s="19" t="s">
        <v>144</v>
      </c>
      <c r="BM167" s="147" t="s">
        <v>227</v>
      </c>
    </row>
    <row r="168" spans="1:65" s="2" customFormat="1" ht="37.9" customHeight="1">
      <c r="A168" s="31"/>
      <c r="B168" s="136"/>
      <c r="C168" s="137">
        <v>15</v>
      </c>
      <c r="D168" s="137" t="s">
        <v>141</v>
      </c>
      <c r="E168" s="138" t="s">
        <v>228</v>
      </c>
      <c r="F168" s="139" t="s">
        <v>229</v>
      </c>
      <c r="G168" s="140" t="s">
        <v>147</v>
      </c>
      <c r="H168" s="141">
        <f>H170+H173+H176+H180</f>
        <v>27</v>
      </c>
      <c r="I168" s="142"/>
      <c r="J168" s="142">
        <f>ROUND(I168*H168,2)</f>
        <v>0</v>
      </c>
      <c r="K168" s="139" t="s">
        <v>148</v>
      </c>
      <c r="L168" s="32"/>
      <c r="M168" s="143" t="s">
        <v>3</v>
      </c>
      <c r="N168" s="144" t="s">
        <v>43</v>
      </c>
      <c r="O168" s="145">
        <v>1.607</v>
      </c>
      <c r="P168" s="145">
        <f>O168*H168</f>
        <v>43.389000000000003</v>
      </c>
      <c r="Q168" s="145">
        <v>4.684E-2</v>
      </c>
      <c r="R168" s="145">
        <f>Q168*H168</f>
        <v>1.26468</v>
      </c>
      <c r="S168" s="145">
        <v>0</v>
      </c>
      <c r="T168" s="146">
        <f>S168*H168</f>
        <v>0</v>
      </c>
      <c r="U168" s="31"/>
      <c r="V168" s="31"/>
      <c r="W168" s="31"/>
      <c r="X168" s="31"/>
      <c r="Y168" s="31"/>
      <c r="Z168" s="31"/>
      <c r="AA168" s="31"/>
      <c r="AB168" s="31"/>
      <c r="AC168" s="31"/>
      <c r="AD168" s="31"/>
      <c r="AE168" s="31"/>
      <c r="AR168" s="147" t="s">
        <v>144</v>
      </c>
      <c r="AT168" s="147" t="s">
        <v>141</v>
      </c>
      <c r="AU168" s="147" t="s">
        <v>82</v>
      </c>
      <c r="AY168" s="19" t="s">
        <v>138</v>
      </c>
      <c r="BE168" s="148">
        <f>IF(N168="základní",J168,0)</f>
        <v>0</v>
      </c>
      <c r="BF168" s="148">
        <f>IF(N168="snížená",J168,0)</f>
        <v>0</v>
      </c>
      <c r="BG168" s="148">
        <f>IF(N168="zákl. přenesená",J168,0)</f>
        <v>0</v>
      </c>
      <c r="BH168" s="148">
        <f>IF(N168="sníž. přenesená",J168,0)</f>
        <v>0</v>
      </c>
      <c r="BI168" s="148">
        <f>IF(N168="nulová",J168,0)</f>
        <v>0</v>
      </c>
      <c r="BJ168" s="19" t="s">
        <v>80</v>
      </c>
      <c r="BK168" s="148">
        <f>ROUND(I168*H168,2)</f>
        <v>0</v>
      </c>
      <c r="BL168" s="19" t="s">
        <v>144</v>
      </c>
      <c r="BM168" s="147" t="s">
        <v>230</v>
      </c>
    </row>
    <row r="169" spans="1:65" s="2" customFormat="1" ht="39">
      <c r="A169" s="31"/>
      <c r="B169" s="32"/>
      <c r="C169" s="31"/>
      <c r="D169" s="150" t="s">
        <v>149</v>
      </c>
      <c r="E169" s="31"/>
      <c r="F169" s="163" t="s">
        <v>231</v>
      </c>
      <c r="G169" s="31"/>
      <c r="H169" s="31"/>
      <c r="I169" s="31"/>
      <c r="J169" s="31"/>
      <c r="K169" s="31"/>
      <c r="L169" s="32"/>
      <c r="M169" s="164"/>
      <c r="N169" s="165"/>
      <c r="O169" s="52"/>
      <c r="P169" s="52"/>
      <c r="Q169" s="52"/>
      <c r="R169" s="52"/>
      <c r="S169" s="52"/>
      <c r="T169" s="53"/>
      <c r="U169" s="31"/>
      <c r="V169" s="31"/>
      <c r="W169" s="31"/>
      <c r="X169" s="31"/>
      <c r="Y169" s="31"/>
      <c r="Z169" s="31"/>
      <c r="AA169" s="31"/>
      <c r="AB169" s="31"/>
      <c r="AC169" s="31"/>
      <c r="AD169" s="31"/>
      <c r="AE169" s="31"/>
      <c r="AT169" s="19" t="s">
        <v>149</v>
      </c>
      <c r="AU169" s="19" t="s">
        <v>82</v>
      </c>
    </row>
    <row r="170" spans="1:65" s="2" customFormat="1" ht="24.2" customHeight="1">
      <c r="A170" s="31"/>
      <c r="B170" s="136"/>
      <c r="C170" s="173">
        <v>16</v>
      </c>
      <c r="D170" s="173" t="s">
        <v>164</v>
      </c>
      <c r="E170" s="174" t="s">
        <v>232</v>
      </c>
      <c r="F170" s="175" t="s">
        <v>233</v>
      </c>
      <c r="G170" s="176" t="s">
        <v>147</v>
      </c>
      <c r="H170" s="177">
        <f>H172</f>
        <v>5</v>
      </c>
      <c r="I170" s="178"/>
      <c r="J170" s="178">
        <f>ROUND(I170*H170,2)</f>
        <v>0</v>
      </c>
      <c r="K170" s="175" t="s">
        <v>148</v>
      </c>
      <c r="L170" s="179"/>
      <c r="M170" s="180" t="s">
        <v>3</v>
      </c>
      <c r="N170" s="181" t="s">
        <v>43</v>
      </c>
      <c r="O170" s="145">
        <v>0</v>
      </c>
      <c r="P170" s="145">
        <f>O170*H170</f>
        <v>0</v>
      </c>
      <c r="Q170" s="145">
        <v>1.201E-2</v>
      </c>
      <c r="R170" s="145">
        <f>Q170*H170</f>
        <v>6.0049999999999999E-2</v>
      </c>
      <c r="S170" s="145">
        <v>0</v>
      </c>
      <c r="T170" s="146">
        <f>S170*H170</f>
        <v>0</v>
      </c>
      <c r="U170" s="31"/>
      <c r="V170" s="31"/>
      <c r="W170" s="31"/>
      <c r="X170" s="31"/>
      <c r="Y170" s="31"/>
      <c r="Z170" s="31"/>
      <c r="AA170" s="31"/>
      <c r="AB170" s="31"/>
      <c r="AC170" s="31"/>
      <c r="AD170" s="31"/>
      <c r="AE170" s="31"/>
      <c r="AR170" s="147" t="s">
        <v>167</v>
      </c>
      <c r="AT170" s="147" t="s">
        <v>164</v>
      </c>
      <c r="AU170" s="147" t="s">
        <v>82</v>
      </c>
      <c r="AY170" s="19" t="s">
        <v>138</v>
      </c>
      <c r="BE170" s="148">
        <f>IF(N170="základní",J170,0)</f>
        <v>0</v>
      </c>
      <c r="BF170" s="148">
        <f>IF(N170="snížená",J170,0)</f>
        <v>0</v>
      </c>
      <c r="BG170" s="148">
        <f>IF(N170="zákl. přenesená",J170,0)</f>
        <v>0</v>
      </c>
      <c r="BH170" s="148">
        <f>IF(N170="sníž. přenesená",J170,0)</f>
        <v>0</v>
      </c>
      <c r="BI170" s="148">
        <f>IF(N170="nulová",J170,0)</f>
        <v>0</v>
      </c>
      <c r="BJ170" s="19" t="s">
        <v>80</v>
      </c>
      <c r="BK170" s="148">
        <f>ROUND(I170*H170,2)</f>
        <v>0</v>
      </c>
      <c r="BL170" s="19" t="s">
        <v>144</v>
      </c>
      <c r="BM170" s="147" t="s">
        <v>234</v>
      </c>
    </row>
    <row r="171" spans="1:65" s="13" customFormat="1" ht="22.5">
      <c r="B171" s="149"/>
      <c r="D171" s="150" t="s">
        <v>145</v>
      </c>
      <c r="E171" s="151" t="s">
        <v>3</v>
      </c>
      <c r="F171" s="152" t="s">
        <v>235</v>
      </c>
      <c r="H171" s="151" t="s">
        <v>3</v>
      </c>
      <c r="L171" s="149"/>
      <c r="M171" s="153"/>
      <c r="N171" s="154"/>
      <c r="O171" s="154"/>
      <c r="P171" s="154"/>
      <c r="Q171" s="154"/>
      <c r="R171" s="154"/>
      <c r="S171" s="154"/>
      <c r="T171" s="155"/>
      <c r="AT171" s="151" t="s">
        <v>145</v>
      </c>
      <c r="AU171" s="151" t="s">
        <v>82</v>
      </c>
      <c r="AV171" s="13" t="s">
        <v>80</v>
      </c>
      <c r="AW171" s="13" t="s">
        <v>34</v>
      </c>
      <c r="AX171" s="13" t="s">
        <v>72</v>
      </c>
      <c r="AY171" s="151" t="s">
        <v>138</v>
      </c>
    </row>
    <row r="172" spans="1:65" s="14" customFormat="1">
      <c r="B172" s="156"/>
      <c r="D172" s="150" t="s">
        <v>145</v>
      </c>
      <c r="E172" s="157" t="s">
        <v>3</v>
      </c>
      <c r="F172" s="158" t="s">
        <v>1288</v>
      </c>
      <c r="H172" s="159">
        <v>5</v>
      </c>
      <c r="L172" s="156"/>
      <c r="M172" s="160"/>
      <c r="N172" s="161"/>
      <c r="O172" s="161"/>
      <c r="P172" s="161"/>
      <c r="Q172" s="161"/>
      <c r="R172" s="161"/>
      <c r="S172" s="161"/>
      <c r="T172" s="162"/>
      <c r="AT172" s="157" t="s">
        <v>145</v>
      </c>
      <c r="AU172" s="157" t="s">
        <v>82</v>
      </c>
      <c r="AV172" s="14" t="s">
        <v>82</v>
      </c>
      <c r="AW172" s="14" t="s">
        <v>34</v>
      </c>
      <c r="AX172" s="14" t="s">
        <v>80</v>
      </c>
      <c r="AY172" s="157" t="s">
        <v>138</v>
      </c>
    </row>
    <row r="173" spans="1:65" s="2" customFormat="1" ht="24.2" customHeight="1">
      <c r="A173" s="31"/>
      <c r="B173" s="136"/>
      <c r="C173" s="173">
        <v>17</v>
      </c>
      <c r="D173" s="173" t="s">
        <v>164</v>
      </c>
      <c r="E173" s="174" t="s">
        <v>236</v>
      </c>
      <c r="F173" s="175" t="s">
        <v>237</v>
      </c>
      <c r="G173" s="176" t="s">
        <v>147</v>
      </c>
      <c r="H173" s="177">
        <f>H175</f>
        <v>7</v>
      </c>
      <c r="I173" s="178"/>
      <c r="J173" s="178">
        <f>ROUND(I173*H173,2)</f>
        <v>0</v>
      </c>
      <c r="K173" s="175" t="s">
        <v>148</v>
      </c>
      <c r="L173" s="179"/>
      <c r="M173" s="180" t="s">
        <v>3</v>
      </c>
      <c r="N173" s="181" t="s">
        <v>43</v>
      </c>
      <c r="O173" s="145">
        <v>0</v>
      </c>
      <c r="P173" s="145">
        <f>O173*H173</f>
        <v>0</v>
      </c>
      <c r="Q173" s="145">
        <v>1.225E-2</v>
      </c>
      <c r="R173" s="145">
        <f>Q173*H173</f>
        <v>8.5750000000000007E-2</v>
      </c>
      <c r="S173" s="145">
        <v>0</v>
      </c>
      <c r="T173" s="146">
        <f>S173*H173</f>
        <v>0</v>
      </c>
      <c r="U173" s="31"/>
      <c r="V173" s="31"/>
      <c r="W173" s="31"/>
      <c r="X173" s="31"/>
      <c r="Y173" s="31"/>
      <c r="Z173" s="31"/>
      <c r="AA173" s="31"/>
      <c r="AB173" s="31"/>
      <c r="AC173" s="31"/>
      <c r="AD173" s="31"/>
      <c r="AE173" s="31"/>
      <c r="AR173" s="147" t="s">
        <v>167</v>
      </c>
      <c r="AT173" s="147" t="s">
        <v>164</v>
      </c>
      <c r="AU173" s="147" t="s">
        <v>82</v>
      </c>
      <c r="AY173" s="19" t="s">
        <v>138</v>
      </c>
      <c r="BE173" s="148">
        <f>IF(N173="základní",J173,0)</f>
        <v>0</v>
      </c>
      <c r="BF173" s="148">
        <f>IF(N173="snížená",J173,0)</f>
        <v>0</v>
      </c>
      <c r="BG173" s="148">
        <f>IF(N173="zákl. přenesená",J173,0)</f>
        <v>0</v>
      </c>
      <c r="BH173" s="148">
        <f>IF(N173="sníž. přenesená",J173,0)</f>
        <v>0</v>
      </c>
      <c r="BI173" s="148">
        <f>IF(N173="nulová",J173,0)</f>
        <v>0</v>
      </c>
      <c r="BJ173" s="19" t="s">
        <v>80</v>
      </c>
      <c r="BK173" s="148">
        <f>ROUND(I173*H173,2)</f>
        <v>0</v>
      </c>
      <c r="BL173" s="19" t="s">
        <v>144</v>
      </c>
      <c r="BM173" s="147" t="s">
        <v>238</v>
      </c>
    </row>
    <row r="174" spans="1:65" s="13" customFormat="1" ht="22.5">
      <c r="B174" s="149"/>
      <c r="D174" s="150" t="s">
        <v>145</v>
      </c>
      <c r="E174" s="151" t="s">
        <v>3</v>
      </c>
      <c r="F174" s="152" t="s">
        <v>235</v>
      </c>
      <c r="H174" s="151" t="s">
        <v>3</v>
      </c>
      <c r="L174" s="149"/>
      <c r="M174" s="153"/>
      <c r="N174" s="154"/>
      <c r="O174" s="154"/>
      <c r="P174" s="154"/>
      <c r="Q174" s="154"/>
      <c r="R174" s="154"/>
      <c r="S174" s="154"/>
      <c r="T174" s="155"/>
      <c r="AT174" s="151" t="s">
        <v>145</v>
      </c>
      <c r="AU174" s="151" t="s">
        <v>82</v>
      </c>
      <c r="AV174" s="13" t="s">
        <v>80</v>
      </c>
      <c r="AW174" s="13" t="s">
        <v>34</v>
      </c>
      <c r="AX174" s="13" t="s">
        <v>72</v>
      </c>
      <c r="AY174" s="151" t="s">
        <v>138</v>
      </c>
    </row>
    <row r="175" spans="1:65" s="14" customFormat="1">
      <c r="B175" s="156"/>
      <c r="D175" s="150" t="s">
        <v>145</v>
      </c>
      <c r="E175" s="157" t="s">
        <v>3</v>
      </c>
      <c r="F175" s="158" t="s">
        <v>1454</v>
      </c>
      <c r="H175" s="159">
        <v>7</v>
      </c>
      <c r="L175" s="156"/>
      <c r="M175" s="160"/>
      <c r="N175" s="161"/>
      <c r="O175" s="161"/>
      <c r="P175" s="161"/>
      <c r="Q175" s="161"/>
      <c r="R175" s="161"/>
      <c r="S175" s="161"/>
      <c r="T175" s="162"/>
      <c r="AT175" s="157" t="s">
        <v>145</v>
      </c>
      <c r="AU175" s="157" t="s">
        <v>82</v>
      </c>
      <c r="AV175" s="14" t="s">
        <v>82</v>
      </c>
      <c r="AW175" s="14" t="s">
        <v>34</v>
      </c>
      <c r="AX175" s="14" t="s">
        <v>80</v>
      </c>
      <c r="AY175" s="157" t="s">
        <v>138</v>
      </c>
    </row>
    <row r="176" spans="1:65" s="2" customFormat="1" ht="24.2" customHeight="1">
      <c r="A176" s="31"/>
      <c r="B176" s="136"/>
      <c r="C176" s="173">
        <v>18</v>
      </c>
      <c r="D176" s="173" t="s">
        <v>164</v>
      </c>
      <c r="E176" s="174" t="s">
        <v>239</v>
      </c>
      <c r="F176" s="175" t="s">
        <v>240</v>
      </c>
      <c r="G176" s="176" t="s">
        <v>147</v>
      </c>
      <c r="H176" s="177">
        <f>H179</f>
        <v>13</v>
      </c>
      <c r="I176" s="178"/>
      <c r="J176" s="178">
        <f>ROUND(I176*H176,2)</f>
        <v>0</v>
      </c>
      <c r="K176" s="175" t="s">
        <v>148</v>
      </c>
      <c r="L176" s="179"/>
      <c r="M176" s="180" t="s">
        <v>3</v>
      </c>
      <c r="N176" s="181" t="s">
        <v>43</v>
      </c>
      <c r="O176" s="145">
        <v>0</v>
      </c>
      <c r="P176" s="145">
        <f>O176*H176</f>
        <v>0</v>
      </c>
      <c r="Q176" s="145">
        <v>1.2489999999999999E-2</v>
      </c>
      <c r="R176" s="145">
        <f>Q176*H176</f>
        <v>0.16236999999999999</v>
      </c>
      <c r="S176" s="145">
        <v>0</v>
      </c>
      <c r="T176" s="146">
        <f>S176*H176</f>
        <v>0</v>
      </c>
      <c r="U176" s="31"/>
      <c r="V176" s="31"/>
      <c r="W176" s="31"/>
      <c r="X176" s="31"/>
      <c r="Y176" s="31"/>
      <c r="Z176" s="31"/>
      <c r="AA176" s="31"/>
      <c r="AB176" s="31"/>
      <c r="AC176" s="31"/>
      <c r="AD176" s="31"/>
      <c r="AE176" s="31"/>
      <c r="AR176" s="147" t="s">
        <v>167</v>
      </c>
      <c r="AT176" s="147" t="s">
        <v>164</v>
      </c>
      <c r="AU176" s="147" t="s">
        <v>82</v>
      </c>
      <c r="AY176" s="19" t="s">
        <v>138</v>
      </c>
      <c r="BE176" s="148">
        <f>IF(N176="základní",J176,0)</f>
        <v>0</v>
      </c>
      <c r="BF176" s="148">
        <f>IF(N176="snížená",J176,0)</f>
        <v>0</v>
      </c>
      <c r="BG176" s="148">
        <f>IF(N176="zákl. přenesená",J176,0)</f>
        <v>0</v>
      </c>
      <c r="BH176" s="148">
        <f>IF(N176="sníž. přenesená",J176,0)</f>
        <v>0</v>
      </c>
      <c r="BI176" s="148">
        <f>IF(N176="nulová",J176,0)</f>
        <v>0</v>
      </c>
      <c r="BJ176" s="19" t="s">
        <v>80</v>
      </c>
      <c r="BK176" s="148">
        <f>ROUND(I176*H176,2)</f>
        <v>0</v>
      </c>
      <c r="BL176" s="19" t="s">
        <v>144</v>
      </c>
      <c r="BM176" s="147" t="s">
        <v>241</v>
      </c>
    </row>
    <row r="177" spans="1:65" s="2" customFormat="1" ht="19.5">
      <c r="A177" s="31"/>
      <c r="B177" s="32"/>
      <c r="C177" s="31"/>
      <c r="D177" s="150" t="s">
        <v>242</v>
      </c>
      <c r="E177" s="31"/>
      <c r="F177" s="163" t="s">
        <v>243</v>
      </c>
      <c r="G177" s="31"/>
      <c r="H177" s="31"/>
      <c r="I177" s="31"/>
      <c r="J177" s="31"/>
      <c r="K177" s="31"/>
      <c r="L177" s="32"/>
      <c r="M177" s="164"/>
      <c r="N177" s="165"/>
      <c r="O177" s="52"/>
      <c r="P177" s="52"/>
      <c r="Q177" s="52"/>
      <c r="R177" s="52"/>
      <c r="S177" s="52"/>
      <c r="T177" s="53"/>
      <c r="U177" s="31"/>
      <c r="V177" s="31"/>
      <c r="W177" s="31"/>
      <c r="X177" s="31"/>
      <c r="Y177" s="31"/>
      <c r="Z177" s="31"/>
      <c r="AA177" s="31"/>
      <c r="AB177" s="31"/>
      <c r="AC177" s="31"/>
      <c r="AD177" s="31"/>
      <c r="AE177" s="31"/>
      <c r="AT177" s="19" t="s">
        <v>242</v>
      </c>
      <c r="AU177" s="19" t="s">
        <v>82</v>
      </c>
    </row>
    <row r="178" spans="1:65" s="13" customFormat="1" ht="22.5">
      <c r="B178" s="149"/>
      <c r="D178" s="150" t="s">
        <v>145</v>
      </c>
      <c r="E178" s="151" t="s">
        <v>3</v>
      </c>
      <c r="F178" s="152" t="s">
        <v>235</v>
      </c>
      <c r="H178" s="151" t="s">
        <v>3</v>
      </c>
      <c r="L178" s="149"/>
      <c r="M178" s="153"/>
      <c r="N178" s="154"/>
      <c r="O178" s="154"/>
      <c r="P178" s="154"/>
      <c r="Q178" s="154"/>
      <c r="R178" s="154"/>
      <c r="S178" s="154"/>
      <c r="T178" s="155"/>
      <c r="AT178" s="151" t="s">
        <v>145</v>
      </c>
      <c r="AU178" s="151" t="s">
        <v>82</v>
      </c>
      <c r="AV178" s="13" t="s">
        <v>80</v>
      </c>
      <c r="AW178" s="13" t="s">
        <v>34</v>
      </c>
      <c r="AX178" s="13" t="s">
        <v>72</v>
      </c>
      <c r="AY178" s="151" t="s">
        <v>138</v>
      </c>
    </row>
    <row r="179" spans="1:65" s="14" customFormat="1">
      <c r="B179" s="156"/>
      <c r="D179" s="150" t="s">
        <v>145</v>
      </c>
      <c r="E179" s="157" t="s">
        <v>3</v>
      </c>
      <c r="F179" s="158" t="s">
        <v>1546</v>
      </c>
      <c r="H179" s="159">
        <v>13</v>
      </c>
      <c r="L179" s="156"/>
      <c r="M179" s="160"/>
      <c r="N179" s="161"/>
      <c r="O179" s="161"/>
      <c r="P179" s="161"/>
      <c r="Q179" s="161"/>
      <c r="R179" s="161"/>
      <c r="S179" s="161"/>
      <c r="T179" s="162"/>
      <c r="AT179" s="157" t="s">
        <v>145</v>
      </c>
      <c r="AU179" s="157" t="s">
        <v>82</v>
      </c>
      <c r="AV179" s="14" t="s">
        <v>82</v>
      </c>
      <c r="AW179" s="14" t="s">
        <v>34</v>
      </c>
      <c r="AX179" s="14" t="s">
        <v>72</v>
      </c>
      <c r="AY179" s="157" t="s">
        <v>138</v>
      </c>
    </row>
    <row r="180" spans="1:65" s="2" customFormat="1" ht="24.2" customHeight="1">
      <c r="A180" s="31"/>
      <c r="B180" s="136"/>
      <c r="C180" s="173">
        <v>19</v>
      </c>
      <c r="D180" s="173" t="s">
        <v>164</v>
      </c>
      <c r="E180" s="174" t="s">
        <v>244</v>
      </c>
      <c r="F180" s="175" t="s">
        <v>245</v>
      </c>
      <c r="G180" s="176" t="s">
        <v>147</v>
      </c>
      <c r="H180" s="177">
        <f>H183</f>
        <v>2</v>
      </c>
      <c r="I180" s="178"/>
      <c r="J180" s="178">
        <f>ROUND(I180*H180,2)</f>
        <v>0</v>
      </c>
      <c r="K180" s="175" t="s">
        <v>148</v>
      </c>
      <c r="L180" s="179"/>
      <c r="M180" s="180" t="s">
        <v>3</v>
      </c>
      <c r="N180" s="181" t="s">
        <v>43</v>
      </c>
      <c r="O180" s="145">
        <v>0</v>
      </c>
      <c r="P180" s="145">
        <f>O180*H180</f>
        <v>0</v>
      </c>
      <c r="Q180" s="145">
        <v>1.272E-2</v>
      </c>
      <c r="R180" s="145">
        <f>Q180*H180</f>
        <v>2.5440000000000001E-2</v>
      </c>
      <c r="S180" s="145">
        <v>0</v>
      </c>
      <c r="T180" s="146">
        <f>S180*H180</f>
        <v>0</v>
      </c>
      <c r="U180" s="31"/>
      <c r="V180" s="31"/>
      <c r="W180" s="31"/>
      <c r="X180" s="31"/>
      <c r="Y180" s="31"/>
      <c r="Z180" s="31"/>
      <c r="AA180" s="31"/>
      <c r="AB180" s="31"/>
      <c r="AC180" s="31"/>
      <c r="AD180" s="31"/>
      <c r="AE180" s="31"/>
      <c r="AR180" s="147" t="s">
        <v>167</v>
      </c>
      <c r="AT180" s="147" t="s">
        <v>164</v>
      </c>
      <c r="AU180" s="147" t="s">
        <v>82</v>
      </c>
      <c r="AY180" s="19" t="s">
        <v>138</v>
      </c>
      <c r="BE180" s="148">
        <f>IF(N180="základní",J180,0)</f>
        <v>0</v>
      </c>
      <c r="BF180" s="148">
        <f>IF(N180="snížená",J180,0)</f>
        <v>0</v>
      </c>
      <c r="BG180" s="148">
        <f>IF(N180="zákl. přenesená",J180,0)</f>
        <v>0</v>
      </c>
      <c r="BH180" s="148">
        <f>IF(N180="sníž. přenesená",J180,0)</f>
        <v>0</v>
      </c>
      <c r="BI180" s="148">
        <f>IF(N180="nulová",J180,0)</f>
        <v>0</v>
      </c>
      <c r="BJ180" s="19" t="s">
        <v>80</v>
      </c>
      <c r="BK180" s="148">
        <f>ROUND(I180*H180,2)</f>
        <v>0</v>
      </c>
      <c r="BL180" s="19" t="s">
        <v>144</v>
      </c>
      <c r="BM180" s="147" t="s">
        <v>246</v>
      </c>
    </row>
    <row r="181" spans="1:65" s="2" customFormat="1" ht="19.5">
      <c r="A181" s="31"/>
      <c r="B181" s="32"/>
      <c r="C181" s="31"/>
      <c r="D181" s="150" t="s">
        <v>242</v>
      </c>
      <c r="E181" s="31"/>
      <c r="F181" s="163" t="s">
        <v>243</v>
      </c>
      <c r="G181" s="31"/>
      <c r="H181" s="31"/>
      <c r="I181" s="31"/>
      <c r="J181" s="31"/>
      <c r="K181" s="31"/>
      <c r="L181" s="32"/>
      <c r="M181" s="164"/>
      <c r="N181" s="165"/>
      <c r="O181" s="52"/>
      <c r="P181" s="52"/>
      <c r="Q181" s="52"/>
      <c r="R181" s="52"/>
      <c r="S181" s="52"/>
      <c r="T181" s="53"/>
      <c r="U181" s="31"/>
      <c r="V181" s="31"/>
      <c r="W181" s="31"/>
      <c r="X181" s="31"/>
      <c r="Y181" s="31"/>
      <c r="Z181" s="31"/>
      <c r="AA181" s="31"/>
      <c r="AB181" s="31"/>
      <c r="AC181" s="31"/>
      <c r="AD181" s="31"/>
      <c r="AE181" s="31"/>
      <c r="AT181" s="19" t="s">
        <v>242</v>
      </c>
      <c r="AU181" s="19" t="s">
        <v>82</v>
      </c>
    </row>
    <row r="182" spans="1:65" s="13" customFormat="1" ht="22.5">
      <c r="B182" s="149"/>
      <c r="D182" s="150" t="s">
        <v>145</v>
      </c>
      <c r="E182" s="151" t="s">
        <v>3</v>
      </c>
      <c r="F182" s="152" t="s">
        <v>235</v>
      </c>
      <c r="H182" s="151" t="s">
        <v>3</v>
      </c>
      <c r="L182" s="149"/>
      <c r="M182" s="153"/>
      <c r="N182" s="154"/>
      <c r="O182" s="154"/>
      <c r="P182" s="154"/>
      <c r="Q182" s="154"/>
      <c r="R182" s="154"/>
      <c r="S182" s="154"/>
      <c r="T182" s="155"/>
      <c r="AT182" s="151" t="s">
        <v>145</v>
      </c>
      <c r="AU182" s="151" t="s">
        <v>82</v>
      </c>
      <c r="AV182" s="13" t="s">
        <v>80</v>
      </c>
      <c r="AW182" s="13" t="s">
        <v>34</v>
      </c>
      <c r="AX182" s="13" t="s">
        <v>72</v>
      </c>
      <c r="AY182" s="151" t="s">
        <v>138</v>
      </c>
    </row>
    <row r="183" spans="1:65" s="14" customFormat="1">
      <c r="B183" s="156"/>
      <c r="D183" s="150" t="s">
        <v>145</v>
      </c>
      <c r="E183" s="157" t="s">
        <v>3</v>
      </c>
      <c r="F183" s="158" t="s">
        <v>1368</v>
      </c>
      <c r="H183" s="159">
        <v>2</v>
      </c>
      <c r="L183" s="156"/>
      <c r="M183" s="160"/>
      <c r="N183" s="161"/>
      <c r="O183" s="161"/>
      <c r="P183" s="161"/>
      <c r="Q183" s="161"/>
      <c r="R183" s="161"/>
      <c r="S183" s="161"/>
      <c r="T183" s="162"/>
      <c r="AT183" s="157" t="s">
        <v>145</v>
      </c>
      <c r="AU183" s="157" t="s">
        <v>82</v>
      </c>
      <c r="AV183" s="14" t="s">
        <v>82</v>
      </c>
      <c r="AW183" s="14" t="s">
        <v>34</v>
      </c>
      <c r="AX183" s="14" t="s">
        <v>72</v>
      </c>
      <c r="AY183" s="157" t="s">
        <v>138</v>
      </c>
    </row>
    <row r="184" spans="1:65" s="12" customFormat="1" ht="22.9" customHeight="1">
      <c r="B184" s="124"/>
      <c r="D184" s="125" t="s">
        <v>71</v>
      </c>
      <c r="E184" s="134" t="s">
        <v>178</v>
      </c>
      <c r="F184" s="134" t="s">
        <v>247</v>
      </c>
      <c r="J184" s="135">
        <f>BK184</f>
        <v>0</v>
      </c>
      <c r="L184" s="124"/>
      <c r="M184" s="128"/>
      <c r="N184" s="129"/>
      <c r="O184" s="129"/>
      <c r="P184" s="130">
        <f>SUM(P185:P235)</f>
        <v>70.800196999999997</v>
      </c>
      <c r="Q184" s="129"/>
      <c r="R184" s="130">
        <f>SUM(R185:R235)</f>
        <v>2.7479399999999998E-2</v>
      </c>
      <c r="S184" s="129"/>
      <c r="T184" s="131">
        <f>SUM(T185:T235)</f>
        <v>16.616494600000003</v>
      </c>
      <c r="AR184" s="125" t="s">
        <v>80</v>
      </c>
      <c r="AT184" s="132" t="s">
        <v>71</v>
      </c>
      <c r="AU184" s="132" t="s">
        <v>80</v>
      </c>
      <c r="AY184" s="125" t="s">
        <v>138</v>
      </c>
      <c r="BK184" s="133">
        <f>SUM(BK185:BK235)</f>
        <v>0</v>
      </c>
    </row>
    <row r="185" spans="1:65" s="2" customFormat="1" ht="37.9" customHeight="1">
      <c r="A185" s="31"/>
      <c r="B185" s="136"/>
      <c r="C185" s="137">
        <v>20</v>
      </c>
      <c r="D185" s="137" t="s">
        <v>141</v>
      </c>
      <c r="E185" s="138" t="s">
        <v>248</v>
      </c>
      <c r="F185" s="139" t="s">
        <v>249</v>
      </c>
      <c r="G185" s="140" t="s">
        <v>173</v>
      </c>
      <c r="H185" s="141">
        <f>H192</f>
        <v>211.38</v>
      </c>
      <c r="I185" s="142"/>
      <c r="J185" s="142">
        <f>ROUND(I185*H185,2)</f>
        <v>0</v>
      </c>
      <c r="K185" s="139" t="s">
        <v>148</v>
      </c>
      <c r="L185" s="32"/>
      <c r="M185" s="143" t="s">
        <v>3</v>
      </c>
      <c r="N185" s="144" t="s">
        <v>43</v>
      </c>
      <c r="O185" s="145">
        <v>0.105</v>
      </c>
      <c r="P185" s="145">
        <f>O185*H185</f>
        <v>22.194899999999997</v>
      </c>
      <c r="Q185" s="145">
        <v>1.2999999999999999E-4</v>
      </c>
      <c r="R185" s="145">
        <f>Q185*H185</f>
        <v>2.7479399999999998E-2</v>
      </c>
      <c r="S185" s="145">
        <v>0</v>
      </c>
      <c r="T185" s="146">
        <f>S185*H185</f>
        <v>0</v>
      </c>
      <c r="U185" s="31"/>
      <c r="V185" s="31"/>
      <c r="W185" s="31"/>
      <c r="X185" s="31"/>
      <c r="Y185" s="31"/>
      <c r="Z185" s="31"/>
      <c r="AA185" s="31"/>
      <c r="AB185" s="31"/>
      <c r="AC185" s="31"/>
      <c r="AD185" s="31"/>
      <c r="AE185" s="31"/>
      <c r="AR185" s="147" t="s">
        <v>144</v>
      </c>
      <c r="AT185" s="147" t="s">
        <v>141</v>
      </c>
      <c r="AU185" s="147" t="s">
        <v>82</v>
      </c>
      <c r="AY185" s="19" t="s">
        <v>138</v>
      </c>
      <c r="BE185" s="148">
        <f>IF(N185="základní",J185,0)</f>
        <v>0</v>
      </c>
      <c r="BF185" s="148">
        <f>IF(N185="snížená",J185,0)</f>
        <v>0</v>
      </c>
      <c r="BG185" s="148">
        <f>IF(N185="zákl. přenesená",J185,0)</f>
        <v>0</v>
      </c>
      <c r="BH185" s="148">
        <f>IF(N185="sníž. přenesená",J185,0)</f>
        <v>0</v>
      </c>
      <c r="BI185" s="148">
        <f>IF(N185="nulová",J185,0)</f>
        <v>0</v>
      </c>
      <c r="BJ185" s="19" t="s">
        <v>80</v>
      </c>
      <c r="BK185" s="148">
        <f>ROUND(I185*H185,2)</f>
        <v>0</v>
      </c>
      <c r="BL185" s="19" t="s">
        <v>144</v>
      </c>
      <c r="BM185" s="147" t="s">
        <v>250</v>
      </c>
    </row>
    <row r="186" spans="1:65" s="2" customFormat="1" ht="78">
      <c r="A186" s="31"/>
      <c r="B186" s="32"/>
      <c r="C186" s="31"/>
      <c r="D186" s="150" t="s">
        <v>149</v>
      </c>
      <c r="E186" s="31"/>
      <c r="F186" s="163" t="s">
        <v>251</v>
      </c>
      <c r="G186" s="31"/>
      <c r="H186" s="31"/>
      <c r="I186" s="31"/>
      <c r="J186" s="31"/>
      <c r="K186" s="31"/>
      <c r="L186" s="32"/>
      <c r="M186" s="164"/>
      <c r="N186" s="165"/>
      <c r="O186" s="52"/>
      <c r="P186" s="52"/>
      <c r="Q186" s="52"/>
      <c r="R186" s="52"/>
      <c r="S186" s="52"/>
      <c r="T186" s="53"/>
      <c r="U186" s="31"/>
      <c r="V186" s="31"/>
      <c r="W186" s="31"/>
      <c r="X186" s="31"/>
      <c r="Y186" s="31"/>
      <c r="Z186" s="31"/>
      <c r="AA186" s="31"/>
      <c r="AB186" s="31"/>
      <c r="AC186" s="31"/>
      <c r="AD186" s="31"/>
      <c r="AE186" s="31"/>
      <c r="AT186" s="19" t="s">
        <v>149</v>
      </c>
      <c r="AU186" s="19" t="s">
        <v>82</v>
      </c>
    </row>
    <row r="187" spans="1:65" s="13" customFormat="1">
      <c r="B187" s="149"/>
      <c r="D187" s="150" t="s">
        <v>145</v>
      </c>
      <c r="E187" s="151" t="s">
        <v>3</v>
      </c>
      <c r="F187" s="152" t="s">
        <v>146</v>
      </c>
      <c r="H187" s="151" t="s">
        <v>3</v>
      </c>
      <c r="L187" s="149"/>
      <c r="M187" s="153"/>
      <c r="N187" s="154"/>
      <c r="O187" s="154"/>
      <c r="P187" s="154"/>
      <c r="Q187" s="154"/>
      <c r="R187" s="154"/>
      <c r="S187" s="154"/>
      <c r="T187" s="155"/>
      <c r="AT187" s="151" t="s">
        <v>145</v>
      </c>
      <c r="AU187" s="151" t="s">
        <v>82</v>
      </c>
      <c r="AV187" s="13" t="s">
        <v>80</v>
      </c>
      <c r="AW187" s="13" t="s">
        <v>34</v>
      </c>
      <c r="AX187" s="13" t="s">
        <v>72</v>
      </c>
      <c r="AY187" s="151" t="s">
        <v>138</v>
      </c>
    </row>
    <row r="188" spans="1:65" s="13" customFormat="1">
      <c r="B188" s="149"/>
      <c r="D188" s="150" t="s">
        <v>145</v>
      </c>
      <c r="E188" s="151" t="s">
        <v>3</v>
      </c>
      <c r="F188" s="152" t="s">
        <v>156</v>
      </c>
      <c r="H188" s="151" t="s">
        <v>3</v>
      </c>
      <c r="L188" s="149"/>
      <c r="M188" s="153"/>
      <c r="N188" s="154"/>
      <c r="O188" s="154"/>
      <c r="P188" s="154"/>
      <c r="Q188" s="154"/>
      <c r="R188" s="154"/>
      <c r="S188" s="154"/>
      <c r="T188" s="155"/>
      <c r="AT188" s="151" t="s">
        <v>145</v>
      </c>
      <c r="AU188" s="151" t="s">
        <v>82</v>
      </c>
      <c r="AV188" s="13" t="s">
        <v>80</v>
      </c>
      <c r="AW188" s="13" t="s">
        <v>34</v>
      </c>
      <c r="AX188" s="13" t="s">
        <v>72</v>
      </c>
      <c r="AY188" s="151" t="s">
        <v>138</v>
      </c>
    </row>
    <row r="189" spans="1:65" s="14" customFormat="1" ht="22.5">
      <c r="B189" s="156"/>
      <c r="D189" s="150" t="s">
        <v>145</v>
      </c>
      <c r="E189" s="157" t="s">
        <v>3</v>
      </c>
      <c r="F189" s="158" t="s">
        <v>1431</v>
      </c>
      <c r="H189" s="159">
        <f>1.93+2.83+18.88+9.26+8.59+10.95+8.63+3.5+1.1+8.63+17.82+11.36+3.28+1.64+1.64</f>
        <v>110.03999999999998</v>
      </c>
      <c r="L189" s="156"/>
      <c r="M189" s="160"/>
      <c r="N189" s="161"/>
      <c r="O189" s="161"/>
      <c r="P189" s="161"/>
      <c r="Q189" s="161"/>
      <c r="R189" s="161"/>
      <c r="S189" s="161"/>
      <c r="T189" s="162"/>
      <c r="AT189" s="157" t="s">
        <v>145</v>
      </c>
      <c r="AU189" s="157" t="s">
        <v>82</v>
      </c>
      <c r="AV189" s="14" t="s">
        <v>82</v>
      </c>
      <c r="AW189" s="14" t="s">
        <v>34</v>
      </c>
      <c r="AX189" s="14" t="s">
        <v>72</v>
      </c>
      <c r="AY189" s="157" t="s">
        <v>138</v>
      </c>
    </row>
    <row r="190" spans="1:65" s="13" customFormat="1">
      <c r="B190" s="149"/>
      <c r="D190" s="150" t="s">
        <v>145</v>
      </c>
      <c r="E190" s="151" t="s">
        <v>3</v>
      </c>
      <c r="F190" s="152" t="s">
        <v>157</v>
      </c>
      <c r="H190" s="151" t="s">
        <v>3</v>
      </c>
      <c r="L190" s="149"/>
      <c r="M190" s="153"/>
      <c r="N190" s="154"/>
      <c r="O190" s="154"/>
      <c r="P190" s="154"/>
      <c r="Q190" s="154"/>
      <c r="R190" s="154"/>
      <c r="S190" s="154"/>
      <c r="T190" s="155"/>
      <c r="AT190" s="151" t="s">
        <v>145</v>
      </c>
      <c r="AU190" s="151" t="s">
        <v>82</v>
      </c>
      <c r="AV190" s="13" t="s">
        <v>80</v>
      </c>
      <c r="AW190" s="13" t="s">
        <v>34</v>
      </c>
      <c r="AX190" s="13" t="s">
        <v>72</v>
      </c>
      <c r="AY190" s="151" t="s">
        <v>138</v>
      </c>
    </row>
    <row r="191" spans="1:65" s="14" customFormat="1" ht="22.5">
      <c r="B191" s="156"/>
      <c r="D191" s="150" t="s">
        <v>145</v>
      </c>
      <c r="E191" s="157" t="s">
        <v>3</v>
      </c>
      <c r="F191" s="158" t="s">
        <v>1432</v>
      </c>
      <c r="H191" s="159">
        <f>10.36+15.71+2.34+1.87+2+13.27+17.77+4.3+12.04+18.03+3.65</f>
        <v>101.34</v>
      </c>
      <c r="L191" s="156"/>
      <c r="M191" s="160"/>
      <c r="N191" s="161"/>
      <c r="O191" s="161"/>
      <c r="P191" s="161"/>
      <c r="Q191" s="161"/>
      <c r="R191" s="161"/>
      <c r="S191" s="161"/>
      <c r="T191" s="162"/>
      <c r="AT191" s="157" t="s">
        <v>145</v>
      </c>
      <c r="AU191" s="157" t="s">
        <v>82</v>
      </c>
      <c r="AV191" s="14" t="s">
        <v>82</v>
      </c>
      <c r="AW191" s="14" t="s">
        <v>34</v>
      </c>
      <c r="AX191" s="14" t="s">
        <v>72</v>
      </c>
      <c r="AY191" s="157" t="s">
        <v>138</v>
      </c>
    </row>
    <row r="192" spans="1:65" s="15" customFormat="1">
      <c r="B192" s="166"/>
      <c r="D192" s="150" t="s">
        <v>145</v>
      </c>
      <c r="E192" s="167" t="s">
        <v>3</v>
      </c>
      <c r="F192" s="168" t="s">
        <v>151</v>
      </c>
      <c r="H192" s="169">
        <f>H189+H191</f>
        <v>211.38</v>
      </c>
      <c r="L192" s="166"/>
      <c r="M192" s="170"/>
      <c r="N192" s="171"/>
      <c r="O192" s="171"/>
      <c r="P192" s="171"/>
      <c r="Q192" s="171"/>
      <c r="R192" s="171"/>
      <c r="S192" s="171"/>
      <c r="T192" s="172"/>
      <c r="AT192" s="167" t="s">
        <v>145</v>
      </c>
      <c r="AU192" s="167" t="s">
        <v>82</v>
      </c>
      <c r="AV192" s="15" t="s">
        <v>144</v>
      </c>
      <c r="AW192" s="15" t="s">
        <v>34</v>
      </c>
      <c r="AX192" s="15" t="s">
        <v>80</v>
      </c>
      <c r="AY192" s="167" t="s">
        <v>138</v>
      </c>
    </row>
    <row r="193" spans="1:65" s="2" customFormat="1" ht="37.9" customHeight="1">
      <c r="A193" s="31"/>
      <c r="B193" s="136"/>
      <c r="C193" s="137">
        <v>21</v>
      </c>
      <c r="D193" s="137" t="s">
        <v>141</v>
      </c>
      <c r="E193" s="138" t="s">
        <v>252</v>
      </c>
      <c r="F193" s="139" t="s">
        <v>253</v>
      </c>
      <c r="G193" s="140" t="s">
        <v>173</v>
      </c>
      <c r="H193" s="141">
        <f>H199</f>
        <v>65.434600000000017</v>
      </c>
      <c r="I193" s="142"/>
      <c r="J193" s="142">
        <f>ROUND(I193*H193,2)</f>
        <v>0</v>
      </c>
      <c r="K193" s="139" t="s">
        <v>148</v>
      </c>
      <c r="L193" s="32"/>
      <c r="M193" s="143" t="s">
        <v>3</v>
      </c>
      <c r="N193" s="144" t="s">
        <v>43</v>
      </c>
      <c r="O193" s="145">
        <v>0.245</v>
      </c>
      <c r="P193" s="145">
        <f>O193*H193</f>
        <v>16.031477000000002</v>
      </c>
      <c r="Q193" s="145">
        <v>0</v>
      </c>
      <c r="R193" s="145">
        <f>Q193*H193</f>
        <v>0</v>
      </c>
      <c r="S193" s="145">
        <v>0.13100000000000001</v>
      </c>
      <c r="T193" s="146">
        <f>S193*H193</f>
        <v>8.571932600000002</v>
      </c>
      <c r="U193" s="31"/>
      <c r="V193" s="31"/>
      <c r="W193" s="31"/>
      <c r="X193" s="31"/>
      <c r="Y193" s="31"/>
      <c r="Z193" s="31"/>
      <c r="AA193" s="31"/>
      <c r="AB193" s="31"/>
      <c r="AC193" s="31"/>
      <c r="AD193" s="31"/>
      <c r="AE193" s="31"/>
      <c r="AR193" s="147" t="s">
        <v>144</v>
      </c>
      <c r="AT193" s="147" t="s">
        <v>141</v>
      </c>
      <c r="AU193" s="147" t="s">
        <v>82</v>
      </c>
      <c r="AY193" s="19" t="s">
        <v>138</v>
      </c>
      <c r="BE193" s="148">
        <f>IF(N193="základní",J193,0)</f>
        <v>0</v>
      </c>
      <c r="BF193" s="148">
        <f>IF(N193="snížená",J193,0)</f>
        <v>0</v>
      </c>
      <c r="BG193" s="148">
        <f>IF(N193="zákl. přenesená",J193,0)</f>
        <v>0</v>
      </c>
      <c r="BH193" s="148">
        <f>IF(N193="sníž. přenesená",J193,0)</f>
        <v>0</v>
      </c>
      <c r="BI193" s="148">
        <f>IF(N193="nulová",J193,0)</f>
        <v>0</v>
      </c>
      <c r="BJ193" s="19" t="s">
        <v>80</v>
      </c>
      <c r="BK193" s="148">
        <f>ROUND(I193*H193,2)</f>
        <v>0</v>
      </c>
      <c r="BL193" s="19" t="s">
        <v>144</v>
      </c>
      <c r="BM193" s="147" t="s">
        <v>254</v>
      </c>
    </row>
    <row r="194" spans="1:65" s="13" customFormat="1" ht="22.5">
      <c r="B194" s="149"/>
      <c r="D194" s="150" t="s">
        <v>145</v>
      </c>
      <c r="E194" s="151" t="s">
        <v>3</v>
      </c>
      <c r="F194" s="152" t="s">
        <v>211</v>
      </c>
      <c r="H194" s="151" t="s">
        <v>3</v>
      </c>
      <c r="L194" s="149"/>
      <c r="M194" s="153"/>
      <c r="N194" s="154"/>
      <c r="O194" s="154"/>
      <c r="P194" s="154"/>
      <c r="Q194" s="154"/>
      <c r="R194" s="154"/>
      <c r="S194" s="154"/>
      <c r="T194" s="155"/>
      <c r="AT194" s="151" t="s">
        <v>145</v>
      </c>
      <c r="AU194" s="151" t="s">
        <v>82</v>
      </c>
      <c r="AV194" s="13" t="s">
        <v>80</v>
      </c>
      <c r="AW194" s="13" t="s">
        <v>34</v>
      </c>
      <c r="AX194" s="13" t="s">
        <v>72</v>
      </c>
      <c r="AY194" s="151" t="s">
        <v>138</v>
      </c>
    </row>
    <row r="195" spans="1:65" s="13" customFormat="1">
      <c r="B195" s="149"/>
      <c r="D195" s="150" t="s">
        <v>145</v>
      </c>
      <c r="E195" s="151" t="s">
        <v>3</v>
      </c>
      <c r="F195" s="152" t="s">
        <v>156</v>
      </c>
      <c r="H195" s="151" t="s">
        <v>3</v>
      </c>
      <c r="L195" s="149"/>
      <c r="M195" s="153"/>
      <c r="N195" s="154"/>
      <c r="O195" s="154"/>
      <c r="P195" s="154"/>
      <c r="Q195" s="154"/>
      <c r="R195" s="154"/>
      <c r="S195" s="154"/>
      <c r="T195" s="155"/>
      <c r="AT195" s="151" t="s">
        <v>145</v>
      </c>
      <c r="AU195" s="151" t="s">
        <v>82</v>
      </c>
      <c r="AV195" s="13" t="s">
        <v>80</v>
      </c>
      <c r="AW195" s="13" t="s">
        <v>34</v>
      </c>
      <c r="AX195" s="13" t="s">
        <v>72</v>
      </c>
      <c r="AY195" s="151" t="s">
        <v>138</v>
      </c>
    </row>
    <row r="196" spans="1:65" s="14" customFormat="1">
      <c r="B196" s="156"/>
      <c r="D196" s="150" t="s">
        <v>145</v>
      </c>
      <c r="E196" s="157" t="s">
        <v>3</v>
      </c>
      <c r="F196" s="158" t="s">
        <v>1433</v>
      </c>
      <c r="H196" s="159">
        <f>(1.44+0.62+2.11+1)*2.7+0.92*2.35</f>
        <v>16.121000000000002</v>
      </c>
      <c r="L196" s="156"/>
      <c r="M196" s="160"/>
      <c r="N196" s="161"/>
      <c r="O196" s="161"/>
      <c r="P196" s="161"/>
      <c r="Q196" s="161"/>
      <c r="R196" s="161"/>
      <c r="S196" s="161"/>
      <c r="T196" s="162"/>
      <c r="AT196" s="157" t="s">
        <v>145</v>
      </c>
      <c r="AU196" s="157" t="s">
        <v>82</v>
      </c>
      <c r="AV196" s="14" t="s">
        <v>82</v>
      </c>
      <c r="AW196" s="14" t="s">
        <v>34</v>
      </c>
      <c r="AX196" s="14" t="s">
        <v>72</v>
      </c>
      <c r="AY196" s="157" t="s">
        <v>138</v>
      </c>
    </row>
    <row r="197" spans="1:65" s="13" customFormat="1">
      <c r="B197" s="149"/>
      <c r="D197" s="150" t="s">
        <v>145</v>
      </c>
      <c r="E197" s="151" t="s">
        <v>3</v>
      </c>
      <c r="F197" s="152" t="s">
        <v>157</v>
      </c>
      <c r="H197" s="151" t="s">
        <v>3</v>
      </c>
      <c r="L197" s="149"/>
      <c r="M197" s="153"/>
      <c r="N197" s="154"/>
      <c r="O197" s="154"/>
      <c r="P197" s="154"/>
      <c r="Q197" s="154"/>
      <c r="R197" s="154"/>
      <c r="S197" s="154"/>
      <c r="T197" s="155"/>
      <c r="AT197" s="151" t="s">
        <v>145</v>
      </c>
      <c r="AU197" s="151" t="s">
        <v>82</v>
      </c>
      <c r="AV197" s="13" t="s">
        <v>80</v>
      </c>
      <c r="AW197" s="13" t="s">
        <v>34</v>
      </c>
      <c r="AX197" s="13" t="s">
        <v>72</v>
      </c>
      <c r="AY197" s="151" t="s">
        <v>138</v>
      </c>
    </row>
    <row r="198" spans="1:65" s="14" customFormat="1">
      <c r="B198" s="156"/>
      <c r="D198" s="150" t="s">
        <v>145</v>
      </c>
      <c r="E198" s="157" t="s">
        <v>3</v>
      </c>
      <c r="F198" s="158" t="s">
        <v>1434</v>
      </c>
      <c r="H198" s="159">
        <f>(2.23+1.08+1.68+1.57+1.99+4.98+4.6)*2.72</f>
        <v>49.313600000000008</v>
      </c>
      <c r="L198" s="156"/>
      <c r="M198" s="160"/>
      <c r="N198" s="161"/>
      <c r="O198" s="161"/>
      <c r="P198" s="161"/>
      <c r="Q198" s="161"/>
      <c r="R198" s="161"/>
      <c r="S198" s="161"/>
      <c r="T198" s="162"/>
      <c r="AT198" s="157" t="s">
        <v>145</v>
      </c>
      <c r="AU198" s="157" t="s">
        <v>82</v>
      </c>
      <c r="AV198" s="14" t="s">
        <v>82</v>
      </c>
      <c r="AW198" s="14" t="s">
        <v>34</v>
      </c>
      <c r="AX198" s="14" t="s">
        <v>72</v>
      </c>
      <c r="AY198" s="157" t="s">
        <v>138</v>
      </c>
    </row>
    <row r="199" spans="1:65" s="15" customFormat="1">
      <c r="B199" s="166"/>
      <c r="D199" s="150" t="s">
        <v>145</v>
      </c>
      <c r="E199" s="167" t="s">
        <v>3</v>
      </c>
      <c r="F199" s="168" t="s">
        <v>151</v>
      </c>
      <c r="H199" s="169">
        <f>H196+H198</f>
        <v>65.434600000000017</v>
      </c>
      <c r="L199" s="166"/>
      <c r="M199" s="170"/>
      <c r="N199" s="171"/>
      <c r="O199" s="171"/>
      <c r="P199" s="171"/>
      <c r="Q199" s="171"/>
      <c r="R199" s="171"/>
      <c r="S199" s="171"/>
      <c r="T199" s="172"/>
      <c r="AT199" s="167" t="s">
        <v>145</v>
      </c>
      <c r="AU199" s="167" t="s">
        <v>82</v>
      </c>
      <c r="AV199" s="15" t="s">
        <v>144</v>
      </c>
      <c r="AW199" s="15" t="s">
        <v>34</v>
      </c>
      <c r="AX199" s="15" t="s">
        <v>80</v>
      </c>
      <c r="AY199" s="167" t="s">
        <v>138</v>
      </c>
    </row>
    <row r="200" spans="1:65" s="2" customFormat="1" ht="37.9" customHeight="1">
      <c r="A200" s="31"/>
      <c r="B200" s="136"/>
      <c r="C200" s="137">
        <v>22</v>
      </c>
      <c r="D200" s="137" t="s">
        <v>141</v>
      </c>
      <c r="E200" s="138" t="s">
        <v>255</v>
      </c>
      <c r="F200" s="139" t="s">
        <v>256</v>
      </c>
      <c r="G200" s="140" t="s">
        <v>173</v>
      </c>
      <c r="H200" s="141">
        <f>H207</f>
        <v>35.1</v>
      </c>
      <c r="I200" s="142"/>
      <c r="J200" s="142">
        <f>ROUND(I200*H200,2)</f>
        <v>0</v>
      </c>
      <c r="K200" s="139" t="s">
        <v>148</v>
      </c>
      <c r="L200" s="32"/>
      <c r="M200" s="143" t="s">
        <v>3</v>
      </c>
      <c r="N200" s="144" t="s">
        <v>43</v>
      </c>
      <c r="O200" s="145">
        <v>0.16200000000000001</v>
      </c>
      <c r="P200" s="145">
        <f>O200*H200</f>
        <v>5.6862000000000004</v>
      </c>
      <c r="Q200" s="145">
        <v>0</v>
      </c>
      <c r="R200" s="145">
        <f>Q200*H200</f>
        <v>0</v>
      </c>
      <c r="S200" s="145">
        <v>3.5000000000000003E-2</v>
      </c>
      <c r="T200" s="146">
        <f>S200*H200</f>
        <v>1.2285000000000001</v>
      </c>
      <c r="U200" s="31"/>
      <c r="V200" s="31"/>
      <c r="W200" s="31"/>
      <c r="X200" s="31"/>
      <c r="Y200" s="31"/>
      <c r="Z200" s="31"/>
      <c r="AA200" s="31"/>
      <c r="AB200" s="31"/>
      <c r="AC200" s="31"/>
      <c r="AD200" s="31"/>
      <c r="AE200" s="31"/>
      <c r="AR200" s="147" t="s">
        <v>144</v>
      </c>
      <c r="AT200" s="147" t="s">
        <v>141</v>
      </c>
      <c r="AU200" s="147" t="s">
        <v>82</v>
      </c>
      <c r="AY200" s="19" t="s">
        <v>138</v>
      </c>
      <c r="BE200" s="148">
        <f>IF(N200="základní",J200,0)</f>
        <v>0</v>
      </c>
      <c r="BF200" s="148">
        <f>IF(N200="snížená",J200,0)</f>
        <v>0</v>
      </c>
      <c r="BG200" s="148">
        <f>IF(N200="zákl. přenesená",J200,0)</f>
        <v>0</v>
      </c>
      <c r="BH200" s="148">
        <f>IF(N200="sníž. přenesená",J200,0)</f>
        <v>0</v>
      </c>
      <c r="BI200" s="148">
        <f>IF(N200="nulová",J200,0)</f>
        <v>0</v>
      </c>
      <c r="BJ200" s="19" t="s">
        <v>80</v>
      </c>
      <c r="BK200" s="148">
        <f>ROUND(I200*H200,2)</f>
        <v>0</v>
      </c>
      <c r="BL200" s="19" t="s">
        <v>144</v>
      </c>
      <c r="BM200" s="147" t="s">
        <v>257</v>
      </c>
    </row>
    <row r="201" spans="1:65" s="2" customFormat="1" ht="29.25">
      <c r="A201" s="31"/>
      <c r="B201" s="32"/>
      <c r="C201" s="31"/>
      <c r="D201" s="150" t="s">
        <v>149</v>
      </c>
      <c r="E201" s="31"/>
      <c r="F201" s="163" t="s">
        <v>258</v>
      </c>
      <c r="G201" s="31"/>
      <c r="H201" s="31"/>
      <c r="I201" s="31"/>
      <c r="J201" s="31"/>
      <c r="K201" s="31"/>
      <c r="L201" s="32"/>
      <c r="M201" s="164"/>
      <c r="N201" s="165"/>
      <c r="O201" s="52"/>
      <c r="P201" s="52"/>
      <c r="Q201" s="52"/>
      <c r="R201" s="52"/>
      <c r="S201" s="52"/>
      <c r="T201" s="53"/>
      <c r="U201" s="31"/>
      <c r="V201" s="31"/>
      <c r="W201" s="31"/>
      <c r="X201" s="31"/>
      <c r="Y201" s="31"/>
      <c r="Z201" s="31"/>
      <c r="AA201" s="31"/>
      <c r="AB201" s="31"/>
      <c r="AC201" s="31"/>
      <c r="AD201" s="31"/>
      <c r="AE201" s="31"/>
      <c r="AT201" s="19" t="s">
        <v>149</v>
      </c>
      <c r="AU201" s="19" t="s">
        <v>82</v>
      </c>
    </row>
    <row r="202" spans="1:65" s="13" customFormat="1" ht="22.5">
      <c r="B202" s="149"/>
      <c r="D202" s="150" t="s">
        <v>145</v>
      </c>
      <c r="E202" s="151" t="s">
        <v>3</v>
      </c>
      <c r="F202" s="152" t="s">
        <v>211</v>
      </c>
      <c r="H202" s="151" t="s">
        <v>3</v>
      </c>
      <c r="L202" s="149"/>
      <c r="M202" s="153"/>
      <c r="N202" s="154"/>
      <c r="O202" s="154"/>
      <c r="P202" s="154"/>
      <c r="Q202" s="154"/>
      <c r="R202" s="154"/>
      <c r="S202" s="154"/>
      <c r="T202" s="155"/>
      <c r="AT202" s="151" t="s">
        <v>145</v>
      </c>
      <c r="AU202" s="151" t="s">
        <v>82</v>
      </c>
      <c r="AV202" s="13" t="s">
        <v>80</v>
      </c>
      <c r="AW202" s="13" t="s">
        <v>34</v>
      </c>
      <c r="AX202" s="13" t="s">
        <v>72</v>
      </c>
      <c r="AY202" s="151" t="s">
        <v>138</v>
      </c>
    </row>
    <row r="203" spans="1:65" s="13" customFormat="1">
      <c r="B203" s="149"/>
      <c r="D203" s="150" t="s">
        <v>145</v>
      </c>
      <c r="E203" s="151" t="s">
        <v>3</v>
      </c>
      <c r="F203" s="152" t="s">
        <v>156</v>
      </c>
      <c r="H203" s="151" t="s">
        <v>3</v>
      </c>
      <c r="L203" s="149"/>
      <c r="M203" s="153"/>
      <c r="N203" s="154"/>
      <c r="O203" s="154"/>
      <c r="P203" s="154"/>
      <c r="Q203" s="154"/>
      <c r="R203" s="154"/>
      <c r="S203" s="154"/>
      <c r="T203" s="155"/>
      <c r="AT203" s="151" t="s">
        <v>145</v>
      </c>
      <c r="AU203" s="151" t="s">
        <v>82</v>
      </c>
      <c r="AV203" s="13" t="s">
        <v>80</v>
      </c>
      <c r="AW203" s="13" t="s">
        <v>34</v>
      </c>
      <c r="AX203" s="13" t="s">
        <v>72</v>
      </c>
      <c r="AY203" s="151" t="s">
        <v>138</v>
      </c>
    </row>
    <row r="204" spans="1:65" s="14" customFormat="1">
      <c r="B204" s="156"/>
      <c r="D204" s="150" t="s">
        <v>145</v>
      </c>
      <c r="E204" s="157" t="s">
        <v>3</v>
      </c>
      <c r="F204" s="158" t="s">
        <v>1436</v>
      </c>
      <c r="H204" s="159">
        <f>7.35+0.46+3.5+3.46+1.1+3.13+1.62</f>
        <v>20.62</v>
      </c>
      <c r="L204" s="156"/>
      <c r="M204" s="160"/>
      <c r="N204" s="161"/>
      <c r="O204" s="161"/>
      <c r="P204" s="161"/>
      <c r="Q204" s="161"/>
      <c r="R204" s="161"/>
      <c r="S204" s="161"/>
      <c r="T204" s="162"/>
      <c r="AT204" s="157" t="s">
        <v>145</v>
      </c>
      <c r="AU204" s="157" t="s">
        <v>82</v>
      </c>
      <c r="AV204" s="14" t="s">
        <v>82</v>
      </c>
      <c r="AW204" s="14" t="s">
        <v>34</v>
      </c>
      <c r="AX204" s="14" t="s">
        <v>72</v>
      </c>
      <c r="AY204" s="157" t="s">
        <v>138</v>
      </c>
    </row>
    <row r="205" spans="1:65" s="13" customFormat="1">
      <c r="B205" s="149"/>
      <c r="D205" s="150" t="s">
        <v>145</v>
      </c>
      <c r="E205" s="151" t="s">
        <v>3</v>
      </c>
      <c r="F205" s="152" t="s">
        <v>157</v>
      </c>
      <c r="H205" s="151" t="s">
        <v>3</v>
      </c>
      <c r="L205" s="149"/>
      <c r="M205" s="153"/>
      <c r="N205" s="154"/>
      <c r="O205" s="154"/>
      <c r="P205" s="154"/>
      <c r="Q205" s="154"/>
      <c r="R205" s="154"/>
      <c r="S205" s="154"/>
      <c r="T205" s="155"/>
      <c r="AT205" s="151" t="s">
        <v>145</v>
      </c>
      <c r="AU205" s="151" t="s">
        <v>82</v>
      </c>
      <c r="AV205" s="13" t="s">
        <v>80</v>
      </c>
      <c r="AW205" s="13" t="s">
        <v>34</v>
      </c>
      <c r="AX205" s="13" t="s">
        <v>72</v>
      </c>
      <c r="AY205" s="151" t="s">
        <v>138</v>
      </c>
    </row>
    <row r="206" spans="1:65" s="14" customFormat="1">
      <c r="B206" s="156"/>
      <c r="D206" s="150" t="s">
        <v>145</v>
      </c>
      <c r="E206" s="157" t="s">
        <v>3</v>
      </c>
      <c r="F206" s="158" t="s">
        <v>1435</v>
      </c>
      <c r="H206" s="159">
        <f>2.93+2.7+2.99+1.87+3.99</f>
        <v>14.480000000000002</v>
      </c>
      <c r="L206" s="156"/>
      <c r="M206" s="160"/>
      <c r="N206" s="161"/>
      <c r="O206" s="161"/>
      <c r="P206" s="161"/>
      <c r="Q206" s="161"/>
      <c r="R206" s="161"/>
      <c r="S206" s="161"/>
      <c r="T206" s="162"/>
      <c r="AT206" s="157" t="s">
        <v>145</v>
      </c>
      <c r="AU206" s="157" t="s">
        <v>82</v>
      </c>
      <c r="AV206" s="14" t="s">
        <v>82</v>
      </c>
      <c r="AW206" s="14" t="s">
        <v>34</v>
      </c>
      <c r="AX206" s="14" t="s">
        <v>72</v>
      </c>
      <c r="AY206" s="157" t="s">
        <v>138</v>
      </c>
    </row>
    <row r="207" spans="1:65" s="15" customFormat="1">
      <c r="B207" s="166"/>
      <c r="D207" s="150" t="s">
        <v>145</v>
      </c>
      <c r="E207" s="167" t="s">
        <v>3</v>
      </c>
      <c r="F207" s="168" t="s">
        <v>151</v>
      </c>
      <c r="H207" s="169">
        <f>H204+H206</f>
        <v>35.1</v>
      </c>
      <c r="L207" s="166"/>
      <c r="M207" s="170"/>
      <c r="N207" s="171"/>
      <c r="O207" s="171"/>
      <c r="P207" s="171"/>
      <c r="Q207" s="171"/>
      <c r="R207" s="171"/>
      <c r="S207" s="171"/>
      <c r="T207" s="172"/>
      <c r="AT207" s="167" t="s">
        <v>145</v>
      </c>
      <c r="AU207" s="167" t="s">
        <v>82</v>
      </c>
      <c r="AV207" s="15" t="s">
        <v>144</v>
      </c>
      <c r="AW207" s="15" t="s">
        <v>34</v>
      </c>
      <c r="AX207" s="15" t="s">
        <v>80</v>
      </c>
      <c r="AY207" s="167" t="s">
        <v>138</v>
      </c>
    </row>
    <row r="208" spans="1:65" s="2" customFormat="1" ht="49.15" customHeight="1">
      <c r="A208" s="31"/>
      <c r="B208" s="136"/>
      <c r="C208" s="137">
        <v>23</v>
      </c>
      <c r="D208" s="137" t="s">
        <v>141</v>
      </c>
      <c r="E208" s="138" t="s">
        <v>259</v>
      </c>
      <c r="F208" s="139" t="s">
        <v>260</v>
      </c>
      <c r="G208" s="140" t="s">
        <v>173</v>
      </c>
      <c r="H208" s="141">
        <f>H214</f>
        <v>3.7590000000000003</v>
      </c>
      <c r="I208" s="142"/>
      <c r="J208" s="142">
        <f>ROUND(I208*H208,2)</f>
        <v>0</v>
      </c>
      <c r="K208" s="139" t="s">
        <v>148</v>
      </c>
      <c r="L208" s="32"/>
      <c r="M208" s="143" t="s">
        <v>3</v>
      </c>
      <c r="N208" s="144" t="s">
        <v>43</v>
      </c>
      <c r="O208" s="145">
        <v>0.33</v>
      </c>
      <c r="P208" s="145">
        <f>O208*H208</f>
        <v>1.2404700000000002</v>
      </c>
      <c r="Q208" s="145">
        <v>0</v>
      </c>
      <c r="R208" s="145">
        <f>Q208*H208</f>
        <v>0</v>
      </c>
      <c r="S208" s="145">
        <v>0.18</v>
      </c>
      <c r="T208" s="146">
        <f>S208*H208</f>
        <v>0.67662</v>
      </c>
      <c r="U208" s="31"/>
      <c r="V208" s="31"/>
      <c r="W208" s="31"/>
      <c r="X208" s="31"/>
      <c r="Y208" s="31"/>
      <c r="Z208" s="31"/>
      <c r="AA208" s="31"/>
      <c r="AB208" s="31"/>
      <c r="AC208" s="31"/>
      <c r="AD208" s="31"/>
      <c r="AE208" s="31"/>
      <c r="AR208" s="147" t="s">
        <v>144</v>
      </c>
      <c r="AT208" s="147" t="s">
        <v>141</v>
      </c>
      <c r="AU208" s="147" t="s">
        <v>82</v>
      </c>
      <c r="AY208" s="19" t="s">
        <v>138</v>
      </c>
      <c r="BE208" s="148">
        <f>IF(N208="základní",J208,0)</f>
        <v>0</v>
      </c>
      <c r="BF208" s="148">
        <f>IF(N208="snížená",J208,0)</f>
        <v>0</v>
      </c>
      <c r="BG208" s="148">
        <f>IF(N208="zákl. přenesená",J208,0)</f>
        <v>0</v>
      </c>
      <c r="BH208" s="148">
        <f>IF(N208="sníž. přenesená",J208,0)</f>
        <v>0</v>
      </c>
      <c r="BI208" s="148">
        <f>IF(N208="nulová",J208,0)</f>
        <v>0</v>
      </c>
      <c r="BJ208" s="19" t="s">
        <v>80</v>
      </c>
      <c r="BK208" s="148">
        <f>ROUND(I208*H208,2)</f>
        <v>0</v>
      </c>
      <c r="BL208" s="19" t="s">
        <v>144</v>
      </c>
      <c r="BM208" s="147" t="s">
        <v>261</v>
      </c>
    </row>
    <row r="209" spans="1:65" s="13" customFormat="1" ht="22.5">
      <c r="B209" s="149"/>
      <c r="D209" s="150" t="s">
        <v>145</v>
      </c>
      <c r="E209" s="151" t="s">
        <v>3</v>
      </c>
      <c r="F209" s="152" t="s">
        <v>211</v>
      </c>
      <c r="H209" s="151" t="s">
        <v>3</v>
      </c>
      <c r="L209" s="149"/>
      <c r="M209" s="153"/>
      <c r="N209" s="154"/>
      <c r="O209" s="154"/>
      <c r="P209" s="154"/>
      <c r="Q209" s="154"/>
      <c r="R209" s="154"/>
      <c r="S209" s="154"/>
      <c r="T209" s="155"/>
      <c r="AT209" s="151" t="s">
        <v>145</v>
      </c>
      <c r="AU209" s="151" t="s">
        <v>82</v>
      </c>
      <c r="AV209" s="13" t="s">
        <v>80</v>
      </c>
      <c r="AW209" s="13" t="s">
        <v>34</v>
      </c>
      <c r="AX209" s="13" t="s">
        <v>72</v>
      </c>
      <c r="AY209" s="151" t="s">
        <v>138</v>
      </c>
    </row>
    <row r="210" spans="1:65" s="13" customFormat="1">
      <c r="B210" s="149"/>
      <c r="D210" s="150" t="s">
        <v>145</v>
      </c>
      <c r="E210" s="151" t="s">
        <v>3</v>
      </c>
      <c r="F210" s="152" t="s">
        <v>156</v>
      </c>
      <c r="H210" s="151" t="s">
        <v>3</v>
      </c>
      <c r="L210" s="149"/>
      <c r="M210" s="153"/>
      <c r="N210" s="154"/>
      <c r="O210" s="154"/>
      <c r="P210" s="154"/>
      <c r="Q210" s="154"/>
      <c r="R210" s="154"/>
      <c r="S210" s="154"/>
      <c r="T210" s="155"/>
      <c r="AT210" s="151" t="s">
        <v>145</v>
      </c>
      <c r="AU210" s="151" t="s">
        <v>82</v>
      </c>
      <c r="AV210" s="13" t="s">
        <v>80</v>
      </c>
      <c r="AW210" s="13" t="s">
        <v>34</v>
      </c>
      <c r="AX210" s="13" t="s">
        <v>72</v>
      </c>
      <c r="AY210" s="151" t="s">
        <v>138</v>
      </c>
    </row>
    <row r="211" spans="1:65" s="14" customFormat="1">
      <c r="B211" s="156"/>
      <c r="D211" s="150" t="s">
        <v>145</v>
      </c>
      <c r="E211" s="157" t="s">
        <v>3</v>
      </c>
      <c r="F211" s="158" t="s">
        <v>1441</v>
      </c>
      <c r="H211" s="159">
        <f>0.8*2.1</f>
        <v>1.6800000000000002</v>
      </c>
      <c r="L211" s="156"/>
      <c r="M211" s="160"/>
      <c r="N211" s="161"/>
      <c r="O211" s="161"/>
      <c r="P211" s="161"/>
      <c r="Q211" s="161"/>
      <c r="R211" s="161"/>
      <c r="S211" s="161"/>
      <c r="T211" s="162"/>
      <c r="AT211" s="157" t="s">
        <v>145</v>
      </c>
      <c r="AU211" s="157" t="s">
        <v>82</v>
      </c>
      <c r="AV211" s="14" t="s">
        <v>82</v>
      </c>
      <c r="AW211" s="14" t="s">
        <v>34</v>
      </c>
      <c r="AX211" s="14" t="s">
        <v>72</v>
      </c>
      <c r="AY211" s="157" t="s">
        <v>138</v>
      </c>
    </row>
    <row r="212" spans="1:65" s="13" customFormat="1">
      <c r="B212" s="149"/>
      <c r="D212" s="150" t="s">
        <v>145</v>
      </c>
      <c r="E212" s="151" t="s">
        <v>3</v>
      </c>
      <c r="F212" s="152" t="s">
        <v>157</v>
      </c>
      <c r="H212" s="151" t="s">
        <v>3</v>
      </c>
      <c r="L212" s="149"/>
      <c r="M212" s="153"/>
      <c r="N212" s="154"/>
      <c r="O212" s="154"/>
      <c r="P212" s="154"/>
      <c r="Q212" s="154"/>
      <c r="R212" s="154"/>
      <c r="S212" s="154"/>
      <c r="T212" s="155"/>
      <c r="AT212" s="151" t="s">
        <v>145</v>
      </c>
      <c r="AU212" s="151" t="s">
        <v>82</v>
      </c>
      <c r="AV212" s="13" t="s">
        <v>80</v>
      </c>
      <c r="AW212" s="13" t="s">
        <v>34</v>
      </c>
      <c r="AX212" s="13" t="s">
        <v>72</v>
      </c>
      <c r="AY212" s="151" t="s">
        <v>138</v>
      </c>
    </row>
    <row r="213" spans="1:65" s="14" customFormat="1">
      <c r="B213" s="156"/>
      <c r="D213" s="150" t="s">
        <v>145</v>
      </c>
      <c r="E213" s="157" t="s">
        <v>3</v>
      </c>
      <c r="F213" s="158" t="s">
        <v>1442</v>
      </c>
      <c r="H213" s="159">
        <f>0.48*2.1+0.51*2.1</f>
        <v>2.0790000000000002</v>
      </c>
      <c r="L213" s="156"/>
      <c r="M213" s="160"/>
      <c r="N213" s="161"/>
      <c r="O213" s="161"/>
      <c r="P213" s="161"/>
      <c r="Q213" s="161"/>
      <c r="R213" s="161"/>
      <c r="S213" s="161"/>
      <c r="T213" s="162"/>
      <c r="AT213" s="157" t="s">
        <v>145</v>
      </c>
      <c r="AU213" s="157" t="s">
        <v>82</v>
      </c>
      <c r="AV213" s="14" t="s">
        <v>82</v>
      </c>
      <c r="AW213" s="14" t="s">
        <v>34</v>
      </c>
      <c r="AX213" s="14" t="s">
        <v>72</v>
      </c>
      <c r="AY213" s="157" t="s">
        <v>138</v>
      </c>
    </row>
    <row r="214" spans="1:65" s="15" customFormat="1">
      <c r="B214" s="166"/>
      <c r="D214" s="150" t="s">
        <v>145</v>
      </c>
      <c r="E214" s="167" t="s">
        <v>3</v>
      </c>
      <c r="F214" s="168" t="s">
        <v>151</v>
      </c>
      <c r="H214" s="169">
        <f>H211+H213</f>
        <v>3.7590000000000003</v>
      </c>
      <c r="L214" s="166"/>
      <c r="M214" s="170"/>
      <c r="N214" s="171"/>
      <c r="O214" s="171"/>
      <c r="P214" s="171"/>
      <c r="Q214" s="171"/>
      <c r="R214" s="171"/>
      <c r="S214" s="171"/>
      <c r="T214" s="172"/>
      <c r="AT214" s="167" t="s">
        <v>145</v>
      </c>
      <c r="AU214" s="167" t="s">
        <v>82</v>
      </c>
      <c r="AV214" s="15" t="s">
        <v>144</v>
      </c>
      <c r="AW214" s="15" t="s">
        <v>34</v>
      </c>
      <c r="AX214" s="15" t="s">
        <v>80</v>
      </c>
      <c r="AY214" s="167" t="s">
        <v>138</v>
      </c>
    </row>
    <row r="215" spans="1:65" s="2" customFormat="1" ht="49.15" customHeight="1">
      <c r="B215" s="301"/>
      <c r="C215" s="137">
        <v>24</v>
      </c>
      <c r="D215" s="137" t="s">
        <v>141</v>
      </c>
      <c r="E215" s="138" t="s">
        <v>1437</v>
      </c>
      <c r="F215" s="139" t="s">
        <v>1438</v>
      </c>
      <c r="G215" s="140" t="s">
        <v>173</v>
      </c>
      <c r="H215" s="141">
        <f>H218</f>
        <v>1.8900000000000001</v>
      </c>
      <c r="I215" s="142"/>
      <c r="J215" s="142">
        <f>ROUND(I215*H215,2)</f>
        <v>0</v>
      </c>
      <c r="K215" s="139" t="s">
        <v>148</v>
      </c>
      <c r="L215" s="89"/>
      <c r="M215" s="143" t="s">
        <v>3</v>
      </c>
      <c r="N215" s="302" t="s">
        <v>43</v>
      </c>
      <c r="O215" s="303">
        <v>0.43</v>
      </c>
      <c r="P215" s="303">
        <f>O215*H215</f>
        <v>0.81270000000000009</v>
      </c>
      <c r="Q215" s="303">
        <v>0</v>
      </c>
      <c r="R215" s="303">
        <f>Q215*H215</f>
        <v>0</v>
      </c>
      <c r="S215" s="303">
        <v>0.27</v>
      </c>
      <c r="T215" s="146">
        <f>S215*H215</f>
        <v>0.51030000000000009</v>
      </c>
      <c r="AR215" s="147" t="s">
        <v>144</v>
      </c>
      <c r="AT215" s="147" t="s">
        <v>141</v>
      </c>
      <c r="AU215" s="147" t="s">
        <v>82</v>
      </c>
      <c r="AY215" s="304" t="s">
        <v>138</v>
      </c>
      <c r="BE215" s="305">
        <f>IF(N215="základní",J215,0)</f>
        <v>0</v>
      </c>
      <c r="BF215" s="305">
        <f>IF(N215="snížená",J215,0)</f>
        <v>0</v>
      </c>
      <c r="BG215" s="305">
        <f>IF(N215="zákl. přenesená",J215,0)</f>
        <v>0</v>
      </c>
      <c r="BH215" s="305">
        <f>IF(N215="sníž. přenesená",J215,0)</f>
        <v>0</v>
      </c>
      <c r="BI215" s="305">
        <f>IF(N215="nulová",J215,0)</f>
        <v>0</v>
      </c>
      <c r="BJ215" s="304" t="s">
        <v>80</v>
      </c>
      <c r="BK215" s="305">
        <f>ROUND(I215*H215,2)</f>
        <v>0</v>
      </c>
      <c r="BL215" s="304" t="s">
        <v>144</v>
      </c>
      <c r="BM215" s="147" t="s">
        <v>1439</v>
      </c>
    </row>
    <row r="216" spans="1:65" s="13" customFormat="1" ht="22.5">
      <c r="B216" s="149"/>
      <c r="D216" s="150" t="s">
        <v>145</v>
      </c>
      <c r="E216" s="151" t="s">
        <v>3</v>
      </c>
      <c r="F216" s="152" t="s">
        <v>211</v>
      </c>
      <c r="H216" s="151" t="s">
        <v>3</v>
      </c>
      <c r="L216" s="149"/>
      <c r="M216" s="153"/>
      <c r="N216" s="306"/>
      <c r="O216" s="306"/>
      <c r="P216" s="306"/>
      <c r="Q216" s="306"/>
      <c r="R216" s="306"/>
      <c r="S216" s="306"/>
      <c r="T216" s="155"/>
      <c r="AT216" s="151" t="s">
        <v>145</v>
      </c>
      <c r="AU216" s="151" t="s">
        <v>82</v>
      </c>
      <c r="AV216" s="13" t="s">
        <v>80</v>
      </c>
      <c r="AW216" s="13" t="s">
        <v>34</v>
      </c>
      <c r="AX216" s="13" t="s">
        <v>72</v>
      </c>
      <c r="AY216" s="151" t="s">
        <v>138</v>
      </c>
    </row>
    <row r="217" spans="1:65" s="13" customFormat="1">
      <c r="B217" s="149"/>
      <c r="D217" s="150" t="s">
        <v>145</v>
      </c>
      <c r="E217" s="151" t="s">
        <v>3</v>
      </c>
      <c r="F217" s="152" t="s">
        <v>156</v>
      </c>
      <c r="H217" s="151" t="s">
        <v>3</v>
      </c>
      <c r="L217" s="149"/>
      <c r="M217" s="153"/>
      <c r="N217" s="306"/>
      <c r="O217" s="306"/>
      <c r="P217" s="306"/>
      <c r="Q217" s="306"/>
      <c r="R217" s="306"/>
      <c r="S217" s="306"/>
      <c r="T217" s="155"/>
      <c r="AT217" s="151" t="s">
        <v>145</v>
      </c>
      <c r="AU217" s="151" t="s">
        <v>82</v>
      </c>
      <c r="AV217" s="13" t="s">
        <v>80</v>
      </c>
      <c r="AW217" s="13" t="s">
        <v>34</v>
      </c>
      <c r="AX217" s="13" t="s">
        <v>72</v>
      </c>
      <c r="AY217" s="151" t="s">
        <v>138</v>
      </c>
    </row>
    <row r="218" spans="1:65" s="14" customFormat="1">
      <c r="B218" s="156"/>
      <c r="D218" s="150" t="s">
        <v>145</v>
      </c>
      <c r="E218" s="157" t="s">
        <v>3</v>
      </c>
      <c r="F218" s="158" t="s">
        <v>1440</v>
      </c>
      <c r="H218" s="159">
        <f>0.9*2.1</f>
        <v>1.8900000000000001</v>
      </c>
      <c r="L218" s="156"/>
      <c r="M218" s="160"/>
      <c r="N218" s="307"/>
      <c r="O218" s="307"/>
      <c r="P218" s="307"/>
      <c r="Q218" s="307"/>
      <c r="R218" s="307"/>
      <c r="S218" s="307"/>
      <c r="T218" s="162"/>
      <c r="AT218" s="157" t="s">
        <v>145</v>
      </c>
      <c r="AU218" s="157" t="s">
        <v>82</v>
      </c>
      <c r="AV218" s="14" t="s">
        <v>82</v>
      </c>
      <c r="AW218" s="14" t="s">
        <v>34</v>
      </c>
      <c r="AX218" s="14" t="s">
        <v>72</v>
      </c>
      <c r="AY218" s="157" t="s">
        <v>138</v>
      </c>
    </row>
    <row r="219" spans="1:65" s="2" customFormat="1" ht="37.9" customHeight="1">
      <c r="A219" s="31"/>
      <c r="B219" s="136"/>
      <c r="C219" s="137">
        <v>25</v>
      </c>
      <c r="D219" s="137" t="s">
        <v>141</v>
      </c>
      <c r="E219" s="138" t="s">
        <v>262</v>
      </c>
      <c r="F219" s="139" t="s">
        <v>263</v>
      </c>
      <c r="G219" s="140" t="s">
        <v>173</v>
      </c>
      <c r="H219" s="141">
        <f>H235</f>
        <v>82.781499999999994</v>
      </c>
      <c r="I219" s="142"/>
      <c r="J219" s="142">
        <f>ROUND(I219*H219,2)</f>
        <v>0</v>
      </c>
      <c r="K219" s="139" t="s">
        <v>148</v>
      </c>
      <c r="L219" s="32"/>
      <c r="M219" s="143" t="s">
        <v>3</v>
      </c>
      <c r="N219" s="144" t="s">
        <v>43</v>
      </c>
      <c r="O219" s="145">
        <v>0.3</v>
      </c>
      <c r="P219" s="145">
        <f>O219*H219</f>
        <v>24.834449999999997</v>
      </c>
      <c r="Q219" s="145">
        <v>0</v>
      </c>
      <c r="R219" s="145">
        <f>Q219*H219</f>
        <v>0</v>
      </c>
      <c r="S219" s="145">
        <v>6.8000000000000005E-2</v>
      </c>
      <c r="T219" s="146">
        <f>S219*H219</f>
        <v>5.6291419999999999</v>
      </c>
      <c r="U219" s="31"/>
      <c r="V219" s="31"/>
      <c r="W219" s="31"/>
      <c r="X219" s="31"/>
      <c r="Y219" s="31"/>
      <c r="Z219" s="31"/>
      <c r="AA219" s="31"/>
      <c r="AB219" s="31"/>
      <c r="AC219" s="31"/>
      <c r="AD219" s="31"/>
      <c r="AE219" s="31"/>
      <c r="AR219" s="147" t="s">
        <v>144</v>
      </c>
      <c r="AT219" s="147" t="s">
        <v>141</v>
      </c>
      <c r="AU219" s="147" t="s">
        <v>82</v>
      </c>
      <c r="AY219" s="19" t="s">
        <v>138</v>
      </c>
      <c r="BE219" s="148">
        <f>IF(N219="základní",J219,0)</f>
        <v>0</v>
      </c>
      <c r="BF219" s="148">
        <f>IF(N219="snížená",J219,0)</f>
        <v>0</v>
      </c>
      <c r="BG219" s="148">
        <f>IF(N219="zákl. přenesená",J219,0)</f>
        <v>0</v>
      </c>
      <c r="BH219" s="148">
        <f>IF(N219="sníž. přenesená",J219,0)</f>
        <v>0</v>
      </c>
      <c r="BI219" s="148">
        <f>IF(N219="nulová",J219,0)</f>
        <v>0</v>
      </c>
      <c r="BJ219" s="19" t="s">
        <v>80</v>
      </c>
      <c r="BK219" s="148">
        <f>ROUND(I219*H219,2)</f>
        <v>0</v>
      </c>
      <c r="BL219" s="19" t="s">
        <v>144</v>
      </c>
      <c r="BM219" s="147" t="s">
        <v>264</v>
      </c>
    </row>
    <row r="220" spans="1:65" s="2" customFormat="1" ht="29.25">
      <c r="A220" s="31"/>
      <c r="B220" s="32"/>
      <c r="C220" s="31"/>
      <c r="D220" s="150" t="s">
        <v>149</v>
      </c>
      <c r="E220" s="31"/>
      <c r="F220" s="163" t="s">
        <v>258</v>
      </c>
      <c r="G220" s="31"/>
      <c r="H220" s="31"/>
      <c r="I220" s="31"/>
      <c r="J220" s="31"/>
      <c r="K220" s="31"/>
      <c r="L220" s="32"/>
      <c r="M220" s="164"/>
      <c r="N220" s="165"/>
      <c r="O220" s="52"/>
      <c r="P220" s="52"/>
      <c r="Q220" s="52"/>
      <c r="R220" s="52"/>
      <c r="S220" s="52"/>
      <c r="T220" s="53"/>
      <c r="U220" s="31"/>
      <c r="V220" s="31"/>
      <c r="W220" s="31"/>
      <c r="X220" s="31"/>
      <c r="Y220" s="31"/>
      <c r="Z220" s="31"/>
      <c r="AA220" s="31"/>
      <c r="AB220" s="31"/>
      <c r="AC220" s="31"/>
      <c r="AD220" s="31"/>
      <c r="AE220" s="31"/>
      <c r="AT220" s="19" t="s">
        <v>149</v>
      </c>
      <c r="AU220" s="19" t="s">
        <v>82</v>
      </c>
    </row>
    <row r="221" spans="1:65" s="13" customFormat="1" ht="22.5">
      <c r="B221" s="149"/>
      <c r="D221" s="150" t="s">
        <v>145</v>
      </c>
      <c r="E221" s="151" t="s">
        <v>3</v>
      </c>
      <c r="F221" s="152" t="s">
        <v>211</v>
      </c>
      <c r="H221" s="151" t="s">
        <v>3</v>
      </c>
      <c r="L221" s="149"/>
      <c r="M221" s="153"/>
      <c r="N221" s="154"/>
      <c r="O221" s="154"/>
      <c r="P221" s="154"/>
      <c r="Q221" s="154"/>
      <c r="R221" s="154"/>
      <c r="S221" s="154"/>
      <c r="T221" s="155"/>
      <c r="AT221" s="151" t="s">
        <v>145</v>
      </c>
      <c r="AU221" s="151" t="s">
        <v>82</v>
      </c>
      <c r="AV221" s="13" t="s">
        <v>80</v>
      </c>
      <c r="AW221" s="13" t="s">
        <v>34</v>
      </c>
      <c r="AX221" s="13" t="s">
        <v>72</v>
      </c>
      <c r="AY221" s="151" t="s">
        <v>138</v>
      </c>
    </row>
    <row r="222" spans="1:65" s="13" customFormat="1">
      <c r="B222" s="149"/>
      <c r="D222" s="150" t="s">
        <v>145</v>
      </c>
      <c r="E222" s="151" t="s">
        <v>3</v>
      </c>
      <c r="F222" s="152" t="s">
        <v>156</v>
      </c>
      <c r="H222" s="151" t="s">
        <v>3</v>
      </c>
      <c r="L222" s="149"/>
      <c r="M222" s="153"/>
      <c r="N222" s="154"/>
      <c r="O222" s="154"/>
      <c r="P222" s="154"/>
      <c r="Q222" s="154"/>
      <c r="R222" s="154"/>
      <c r="S222" s="154"/>
      <c r="T222" s="155"/>
      <c r="AT222" s="151" t="s">
        <v>145</v>
      </c>
      <c r="AU222" s="151" t="s">
        <v>82</v>
      </c>
      <c r="AV222" s="13" t="s">
        <v>80</v>
      </c>
      <c r="AW222" s="13" t="s">
        <v>34</v>
      </c>
      <c r="AX222" s="13" t="s">
        <v>72</v>
      </c>
      <c r="AY222" s="151" t="s">
        <v>138</v>
      </c>
    </row>
    <row r="223" spans="1:65" s="14" customFormat="1">
      <c r="B223" s="156"/>
      <c r="D223" s="150" t="s">
        <v>145</v>
      </c>
      <c r="E223" s="157" t="s">
        <v>3</v>
      </c>
      <c r="F223" s="158" t="s">
        <v>1446</v>
      </c>
      <c r="H223" s="159">
        <f>(1.62+1)*2*2.1-0.68*1.5</f>
        <v>9.9840000000000018</v>
      </c>
      <c r="L223" s="156"/>
      <c r="M223" s="160"/>
      <c r="N223" s="161"/>
      <c r="O223" s="161"/>
      <c r="P223" s="161"/>
      <c r="Q223" s="161"/>
      <c r="R223" s="161"/>
      <c r="S223" s="161"/>
      <c r="T223" s="162"/>
      <c r="AT223" s="157" t="s">
        <v>145</v>
      </c>
      <c r="AU223" s="157" t="s">
        <v>82</v>
      </c>
      <c r="AV223" s="14" t="s">
        <v>82</v>
      </c>
      <c r="AW223" s="14" t="s">
        <v>34</v>
      </c>
      <c r="AX223" s="14" t="s">
        <v>72</v>
      </c>
      <c r="AY223" s="157" t="s">
        <v>138</v>
      </c>
    </row>
    <row r="224" spans="1:65" s="14" customFormat="1">
      <c r="B224" s="156"/>
      <c r="D224" s="150" t="s">
        <v>145</v>
      </c>
      <c r="E224" s="157" t="s">
        <v>3</v>
      </c>
      <c r="F224" s="158" t="s">
        <v>1443</v>
      </c>
      <c r="H224" s="159">
        <f>(0.62*2+1)*(1.5-0.8)</f>
        <v>1.5680000000000001</v>
      </c>
      <c r="L224" s="156"/>
      <c r="M224" s="160"/>
      <c r="N224" s="161"/>
      <c r="O224" s="161"/>
      <c r="P224" s="161"/>
      <c r="Q224" s="161"/>
      <c r="R224" s="161"/>
      <c r="S224" s="161"/>
      <c r="T224" s="162"/>
      <c r="AT224" s="157" t="s">
        <v>145</v>
      </c>
      <c r="AU224" s="157" t="s">
        <v>82</v>
      </c>
      <c r="AV224" s="14" t="s">
        <v>82</v>
      </c>
      <c r="AW224" s="14" t="s">
        <v>34</v>
      </c>
      <c r="AX224" s="14" t="s">
        <v>72</v>
      </c>
      <c r="AY224" s="157" t="s">
        <v>138</v>
      </c>
    </row>
    <row r="225" spans="1:65" s="14" customFormat="1">
      <c r="B225" s="156"/>
      <c r="D225" s="150" t="s">
        <v>145</v>
      </c>
      <c r="E225" s="157" t="s">
        <v>3</v>
      </c>
      <c r="F225" s="158" t="s">
        <v>1444</v>
      </c>
      <c r="H225" s="159">
        <f>(2.35+1.6)*2*2.1-0.68*2.01*2</f>
        <v>13.856400000000001</v>
      </c>
      <c r="L225" s="156"/>
      <c r="M225" s="160"/>
      <c r="N225" s="161"/>
      <c r="O225" s="161"/>
      <c r="P225" s="161"/>
      <c r="Q225" s="161"/>
      <c r="R225" s="161"/>
      <c r="S225" s="161"/>
      <c r="T225" s="162"/>
      <c r="AT225" s="157" t="s">
        <v>145</v>
      </c>
      <c r="AU225" s="157" t="s">
        <v>82</v>
      </c>
      <c r="AV225" s="14" t="s">
        <v>82</v>
      </c>
      <c r="AW225" s="14" t="s">
        <v>34</v>
      </c>
      <c r="AX225" s="14" t="s">
        <v>72</v>
      </c>
      <c r="AY225" s="157" t="s">
        <v>138</v>
      </c>
    </row>
    <row r="226" spans="1:65" s="14" customFormat="1">
      <c r="B226" s="156"/>
      <c r="D226" s="150" t="s">
        <v>145</v>
      </c>
      <c r="E226" s="157" t="s">
        <v>3</v>
      </c>
      <c r="F226" s="158" t="s">
        <v>1445</v>
      </c>
      <c r="H226" s="159">
        <f>(0.88+1.25)*2*2.1-0.68*2.01</f>
        <v>7.5792000000000002</v>
      </c>
      <c r="L226" s="156"/>
      <c r="M226" s="160"/>
      <c r="N226" s="161"/>
      <c r="O226" s="161"/>
      <c r="P226" s="161"/>
      <c r="Q226" s="161"/>
      <c r="R226" s="161"/>
      <c r="S226" s="161"/>
      <c r="T226" s="162"/>
      <c r="AT226" s="157" t="s">
        <v>145</v>
      </c>
      <c r="AU226" s="157" t="s">
        <v>82</v>
      </c>
      <c r="AV226" s="14" t="s">
        <v>82</v>
      </c>
      <c r="AW226" s="14" t="s">
        <v>34</v>
      </c>
      <c r="AX226" s="14" t="s">
        <v>72</v>
      </c>
      <c r="AY226" s="157" t="s">
        <v>138</v>
      </c>
    </row>
    <row r="227" spans="1:65" s="14" customFormat="1">
      <c r="B227" s="156"/>
      <c r="D227" s="150" t="s">
        <v>145</v>
      </c>
      <c r="E227" s="157" t="s">
        <v>3</v>
      </c>
      <c r="F227" s="158" t="s">
        <v>1447</v>
      </c>
      <c r="H227" s="159">
        <f>(1.88+1.84)*2*2.1-0.98*2.01-1.43*0.25</f>
        <v>13.2967</v>
      </c>
      <c r="L227" s="156"/>
      <c r="M227" s="160"/>
      <c r="N227" s="161"/>
      <c r="O227" s="161"/>
      <c r="P227" s="161"/>
      <c r="Q227" s="161"/>
      <c r="R227" s="161"/>
      <c r="S227" s="161"/>
      <c r="T227" s="162"/>
      <c r="AT227" s="157" t="s">
        <v>145</v>
      </c>
      <c r="AU227" s="157" t="s">
        <v>82</v>
      </c>
      <c r="AV227" s="14" t="s">
        <v>82</v>
      </c>
      <c r="AW227" s="14" t="s">
        <v>34</v>
      </c>
      <c r="AX227" s="14" t="s">
        <v>72</v>
      </c>
      <c r="AY227" s="157" t="s">
        <v>138</v>
      </c>
    </row>
    <row r="228" spans="1:65" s="16" customFormat="1">
      <c r="B228" s="182"/>
      <c r="D228" s="150" t="s">
        <v>145</v>
      </c>
      <c r="E228" s="183" t="s">
        <v>3</v>
      </c>
      <c r="F228" s="184" t="s">
        <v>219</v>
      </c>
      <c r="H228" s="185">
        <f>SUM(H223:H227)</f>
        <v>46.284300000000002</v>
      </c>
      <c r="L228" s="182"/>
      <c r="M228" s="186"/>
      <c r="N228" s="187"/>
      <c r="O228" s="187"/>
      <c r="P228" s="187"/>
      <c r="Q228" s="187"/>
      <c r="R228" s="187"/>
      <c r="S228" s="187"/>
      <c r="T228" s="188"/>
      <c r="AT228" s="183" t="s">
        <v>145</v>
      </c>
      <c r="AU228" s="183" t="s">
        <v>82</v>
      </c>
      <c r="AV228" s="16" t="s">
        <v>139</v>
      </c>
      <c r="AW228" s="16" t="s">
        <v>34</v>
      </c>
      <c r="AX228" s="16" t="s">
        <v>72</v>
      </c>
      <c r="AY228" s="183" t="s">
        <v>138</v>
      </c>
    </row>
    <row r="229" spans="1:65" s="13" customFormat="1">
      <c r="B229" s="149"/>
      <c r="D229" s="150" t="s">
        <v>145</v>
      </c>
      <c r="E229" s="151" t="s">
        <v>3</v>
      </c>
      <c r="F229" s="152" t="s">
        <v>157</v>
      </c>
      <c r="H229" s="151" t="s">
        <v>3</v>
      </c>
      <c r="L229" s="149"/>
      <c r="M229" s="153"/>
      <c r="N229" s="154"/>
      <c r="O229" s="154"/>
      <c r="P229" s="154"/>
      <c r="Q229" s="154"/>
      <c r="R229" s="154"/>
      <c r="S229" s="154"/>
      <c r="T229" s="155"/>
      <c r="AT229" s="151" t="s">
        <v>145</v>
      </c>
      <c r="AU229" s="151" t="s">
        <v>82</v>
      </c>
      <c r="AV229" s="13" t="s">
        <v>80</v>
      </c>
      <c r="AW229" s="13" t="s">
        <v>34</v>
      </c>
      <c r="AX229" s="13" t="s">
        <v>72</v>
      </c>
      <c r="AY229" s="151" t="s">
        <v>138</v>
      </c>
    </row>
    <row r="230" spans="1:65" s="14" customFormat="1">
      <c r="B230" s="156"/>
      <c r="D230" s="150" t="s">
        <v>145</v>
      </c>
      <c r="E230" s="157" t="s">
        <v>3</v>
      </c>
      <c r="F230" s="158" t="s">
        <v>1448</v>
      </c>
      <c r="H230" s="159">
        <f>(1.34+2.23)*2*1.8-0.68*1.8*3</f>
        <v>9.1800000000000015</v>
      </c>
      <c r="L230" s="156"/>
      <c r="M230" s="160"/>
      <c r="N230" s="161"/>
      <c r="O230" s="161"/>
      <c r="P230" s="161"/>
      <c r="Q230" s="161"/>
      <c r="R230" s="161"/>
      <c r="S230" s="161"/>
      <c r="T230" s="162"/>
      <c r="AT230" s="157" t="s">
        <v>145</v>
      </c>
      <c r="AU230" s="157" t="s">
        <v>82</v>
      </c>
      <c r="AV230" s="14" t="s">
        <v>82</v>
      </c>
      <c r="AW230" s="14" t="s">
        <v>34</v>
      </c>
      <c r="AX230" s="14" t="s">
        <v>72</v>
      </c>
      <c r="AY230" s="157" t="s">
        <v>138</v>
      </c>
    </row>
    <row r="231" spans="1:65" s="14" customFormat="1">
      <c r="B231" s="156"/>
      <c r="D231" s="150" t="s">
        <v>145</v>
      </c>
      <c r="E231" s="157" t="s">
        <v>3</v>
      </c>
      <c r="F231" s="158" t="s">
        <v>1449</v>
      </c>
      <c r="H231" s="159">
        <f>(1.79+2.23)*2*2.1-0.68*2.01</f>
        <v>15.517200000000001</v>
      </c>
      <c r="L231" s="156"/>
      <c r="M231" s="160"/>
      <c r="N231" s="161"/>
      <c r="O231" s="161"/>
      <c r="P231" s="161"/>
      <c r="Q231" s="161"/>
      <c r="R231" s="161"/>
      <c r="S231" s="161"/>
      <c r="T231" s="162"/>
      <c r="AT231" s="157" t="s">
        <v>145</v>
      </c>
      <c r="AU231" s="157" t="s">
        <v>82</v>
      </c>
      <c r="AV231" s="14" t="s">
        <v>82</v>
      </c>
      <c r="AW231" s="14" t="s">
        <v>34</v>
      </c>
      <c r="AX231" s="14" t="s">
        <v>72</v>
      </c>
      <c r="AY231" s="157" t="s">
        <v>138</v>
      </c>
    </row>
    <row r="232" spans="1:65" s="14" customFormat="1">
      <c r="B232" s="156"/>
      <c r="D232" s="150" t="s">
        <v>145</v>
      </c>
      <c r="E232" s="157" t="s">
        <v>3</v>
      </c>
      <c r="F232" s="158" t="s">
        <v>1450</v>
      </c>
      <c r="H232" s="159">
        <f>(1.91+0.98)*2*1.2-0.68*1.2</f>
        <v>6.1199999999999992</v>
      </c>
      <c r="L232" s="156"/>
      <c r="M232" s="160"/>
      <c r="N232" s="161"/>
      <c r="O232" s="161"/>
      <c r="P232" s="161"/>
      <c r="Q232" s="161"/>
      <c r="R232" s="161"/>
      <c r="S232" s="161"/>
      <c r="T232" s="162"/>
      <c r="AT232" s="157" t="s">
        <v>145</v>
      </c>
      <c r="AU232" s="157" t="s">
        <v>82</v>
      </c>
      <c r="AV232" s="14" t="s">
        <v>82</v>
      </c>
      <c r="AW232" s="14" t="s">
        <v>34</v>
      </c>
      <c r="AX232" s="14" t="s">
        <v>72</v>
      </c>
      <c r="AY232" s="157" t="s">
        <v>138</v>
      </c>
    </row>
    <row r="233" spans="1:65" s="14" customFormat="1">
      <c r="B233" s="156"/>
      <c r="D233" s="150" t="s">
        <v>145</v>
      </c>
      <c r="E233" s="157" t="s">
        <v>3</v>
      </c>
      <c r="F233" s="158" t="s">
        <v>1451</v>
      </c>
      <c r="H233" s="159">
        <f>(2.24+0.35+0.96)*1.6</f>
        <v>5.6800000000000006</v>
      </c>
      <c r="L233" s="156"/>
      <c r="M233" s="160"/>
      <c r="N233" s="161"/>
      <c r="O233" s="161"/>
      <c r="P233" s="161"/>
      <c r="Q233" s="161"/>
      <c r="R233" s="161"/>
      <c r="S233" s="161"/>
      <c r="T233" s="162"/>
      <c r="AT233" s="157" t="s">
        <v>145</v>
      </c>
      <c r="AU233" s="157" t="s">
        <v>82</v>
      </c>
      <c r="AV233" s="14" t="s">
        <v>82</v>
      </c>
      <c r="AW233" s="14" t="s">
        <v>34</v>
      </c>
      <c r="AX233" s="14" t="s">
        <v>72</v>
      </c>
      <c r="AY233" s="157" t="s">
        <v>138</v>
      </c>
    </row>
    <row r="234" spans="1:65" s="16" customFormat="1">
      <c r="B234" s="182"/>
      <c r="D234" s="150" t="s">
        <v>145</v>
      </c>
      <c r="E234" s="183" t="s">
        <v>3</v>
      </c>
      <c r="F234" s="184" t="s">
        <v>219</v>
      </c>
      <c r="H234" s="185">
        <f>SUM(H230:H233)</f>
        <v>36.497199999999999</v>
      </c>
      <c r="L234" s="182"/>
      <c r="M234" s="186"/>
      <c r="N234" s="187"/>
      <c r="O234" s="187"/>
      <c r="P234" s="187"/>
      <c r="Q234" s="187"/>
      <c r="R234" s="187"/>
      <c r="S234" s="187"/>
      <c r="T234" s="188"/>
      <c r="AT234" s="183" t="s">
        <v>145</v>
      </c>
      <c r="AU234" s="183" t="s">
        <v>82</v>
      </c>
      <c r="AV234" s="16" t="s">
        <v>139</v>
      </c>
      <c r="AW234" s="16" t="s">
        <v>34</v>
      </c>
      <c r="AX234" s="16" t="s">
        <v>72</v>
      </c>
      <c r="AY234" s="183" t="s">
        <v>138</v>
      </c>
    </row>
    <row r="235" spans="1:65" s="15" customFormat="1">
      <c r="B235" s="166"/>
      <c r="D235" s="150" t="s">
        <v>145</v>
      </c>
      <c r="E235" s="167" t="s">
        <v>3</v>
      </c>
      <c r="F235" s="168" t="s">
        <v>151</v>
      </c>
      <c r="H235" s="169">
        <f>H228+H234</f>
        <v>82.781499999999994</v>
      </c>
      <c r="L235" s="166"/>
      <c r="M235" s="170"/>
      <c r="N235" s="171"/>
      <c r="O235" s="171"/>
      <c r="P235" s="171"/>
      <c r="Q235" s="171"/>
      <c r="R235" s="171"/>
      <c r="S235" s="171"/>
      <c r="T235" s="172"/>
      <c r="AT235" s="167" t="s">
        <v>145</v>
      </c>
      <c r="AU235" s="167" t="s">
        <v>82</v>
      </c>
      <c r="AV235" s="15" t="s">
        <v>144</v>
      </c>
      <c r="AW235" s="15" t="s">
        <v>34</v>
      </c>
      <c r="AX235" s="15" t="s">
        <v>80</v>
      </c>
      <c r="AY235" s="167" t="s">
        <v>138</v>
      </c>
    </row>
    <row r="236" spans="1:65" s="12" customFormat="1" ht="22.9" customHeight="1">
      <c r="B236" s="124"/>
      <c r="D236" s="125" t="s">
        <v>71</v>
      </c>
      <c r="E236" s="134" t="s">
        <v>265</v>
      </c>
      <c r="F236" s="134" t="s">
        <v>266</v>
      </c>
      <c r="J236" s="135">
        <f>BK236</f>
        <v>0</v>
      </c>
      <c r="L236" s="124"/>
      <c r="M236" s="128"/>
      <c r="N236" s="129"/>
      <c r="O236" s="129"/>
      <c r="P236" s="130">
        <f>SUM(P237:P248)</f>
        <v>69.468434999999985</v>
      </c>
      <c r="Q236" s="129"/>
      <c r="R236" s="130">
        <f>SUM(R237:R248)</f>
        <v>0</v>
      </c>
      <c r="S236" s="129"/>
      <c r="T236" s="131">
        <f>SUM(T237:T248)</f>
        <v>0</v>
      </c>
      <c r="AR236" s="125" t="s">
        <v>80</v>
      </c>
      <c r="AT236" s="132" t="s">
        <v>71</v>
      </c>
      <c r="AU236" s="132" t="s">
        <v>80</v>
      </c>
      <c r="AY236" s="125" t="s">
        <v>138</v>
      </c>
      <c r="BK236" s="133">
        <f>SUM(BK237:BK248)</f>
        <v>0</v>
      </c>
    </row>
    <row r="237" spans="1:65" s="2" customFormat="1" ht="37.9" customHeight="1">
      <c r="A237" s="31"/>
      <c r="B237" s="136"/>
      <c r="C237" s="137">
        <v>26</v>
      </c>
      <c r="D237" s="137" t="s">
        <v>141</v>
      </c>
      <c r="E237" s="138" t="s">
        <v>267</v>
      </c>
      <c r="F237" s="139" t="s">
        <v>268</v>
      </c>
      <c r="G237" s="140" t="s">
        <v>160</v>
      </c>
      <c r="H237" s="141">
        <f>(66+4+2)*0.1*1.9+(83*0.045)</f>
        <v>17.414999999999999</v>
      </c>
      <c r="I237" s="142"/>
      <c r="J237" s="142">
        <f>ROUND(I237*H237,2)</f>
        <v>0</v>
      </c>
      <c r="K237" s="139" t="s">
        <v>148</v>
      </c>
      <c r="L237" s="32"/>
      <c r="M237" s="143" t="s">
        <v>3</v>
      </c>
      <c r="N237" s="144" t="s">
        <v>43</v>
      </c>
      <c r="O237" s="145">
        <v>2.42</v>
      </c>
      <c r="P237" s="145">
        <f>O237*H237</f>
        <v>42.144299999999994</v>
      </c>
      <c r="Q237" s="145">
        <v>0</v>
      </c>
      <c r="R237" s="145">
        <f>Q237*H237</f>
        <v>0</v>
      </c>
      <c r="S237" s="145">
        <v>0</v>
      </c>
      <c r="T237" s="146">
        <f>S237*H237</f>
        <v>0</v>
      </c>
      <c r="U237" s="31"/>
      <c r="V237" s="31"/>
      <c r="W237" s="31"/>
      <c r="X237" s="31"/>
      <c r="Y237" s="31"/>
      <c r="Z237" s="31"/>
      <c r="AA237" s="31"/>
      <c r="AB237" s="31"/>
      <c r="AC237" s="31"/>
      <c r="AD237" s="31"/>
      <c r="AE237" s="31"/>
      <c r="AR237" s="147" t="s">
        <v>144</v>
      </c>
      <c r="AT237" s="147" t="s">
        <v>141</v>
      </c>
      <c r="AU237" s="147" t="s">
        <v>82</v>
      </c>
      <c r="AY237" s="19" t="s">
        <v>138</v>
      </c>
      <c r="BE237" s="148">
        <f>IF(N237="základní",J237,0)</f>
        <v>0</v>
      </c>
      <c r="BF237" s="148">
        <f>IF(N237="snížená",J237,0)</f>
        <v>0</v>
      </c>
      <c r="BG237" s="148">
        <f>IF(N237="zákl. přenesená",J237,0)</f>
        <v>0</v>
      </c>
      <c r="BH237" s="148">
        <f>IF(N237="sníž. přenesená",J237,0)</f>
        <v>0</v>
      </c>
      <c r="BI237" s="148">
        <f>IF(N237="nulová",J237,0)</f>
        <v>0</v>
      </c>
      <c r="BJ237" s="19" t="s">
        <v>80</v>
      </c>
      <c r="BK237" s="148">
        <f>ROUND(I237*H237,2)</f>
        <v>0</v>
      </c>
      <c r="BL237" s="19" t="s">
        <v>144</v>
      </c>
      <c r="BM237" s="147" t="s">
        <v>269</v>
      </c>
    </row>
    <row r="238" spans="1:65" s="2" customFormat="1" ht="146.25">
      <c r="A238" s="31"/>
      <c r="B238" s="32"/>
      <c r="C238" s="31"/>
      <c r="D238" s="150" t="s">
        <v>149</v>
      </c>
      <c r="E238" s="31"/>
      <c r="F238" s="163" t="s">
        <v>270</v>
      </c>
      <c r="G238" s="31"/>
      <c r="H238" s="31"/>
      <c r="I238" s="31"/>
      <c r="J238" s="31"/>
      <c r="K238" s="31"/>
      <c r="L238" s="32"/>
      <c r="M238" s="164"/>
      <c r="N238" s="165"/>
      <c r="O238" s="52"/>
      <c r="P238" s="52"/>
      <c r="Q238" s="52"/>
      <c r="R238" s="52"/>
      <c r="S238" s="52"/>
      <c r="T238" s="53"/>
      <c r="U238" s="31"/>
      <c r="V238" s="31"/>
      <c r="W238" s="31"/>
      <c r="X238" s="31"/>
      <c r="Y238" s="31"/>
      <c r="Z238" s="31"/>
      <c r="AA238" s="31"/>
      <c r="AB238" s="31"/>
      <c r="AC238" s="31"/>
      <c r="AD238" s="31"/>
      <c r="AE238" s="31"/>
      <c r="AT238" s="19" t="s">
        <v>149</v>
      </c>
      <c r="AU238" s="19" t="s">
        <v>82</v>
      </c>
    </row>
    <row r="239" spans="1:65" s="2" customFormat="1" ht="62.65" customHeight="1">
      <c r="A239" s="31"/>
      <c r="B239" s="136"/>
      <c r="C239" s="137">
        <v>27</v>
      </c>
      <c r="D239" s="137" t="s">
        <v>141</v>
      </c>
      <c r="E239" s="138" t="s">
        <v>271</v>
      </c>
      <c r="F239" s="139" t="s">
        <v>272</v>
      </c>
      <c r="G239" s="140" t="s">
        <v>160</v>
      </c>
      <c r="H239" s="141">
        <f>H241</f>
        <v>87.074999999999989</v>
      </c>
      <c r="I239" s="142"/>
      <c r="J239" s="142">
        <f>ROUND(I239*H239,2)</f>
        <v>0</v>
      </c>
      <c r="K239" s="139" t="s">
        <v>148</v>
      </c>
      <c r="L239" s="32"/>
      <c r="M239" s="143" t="s">
        <v>3</v>
      </c>
      <c r="N239" s="144" t="s">
        <v>43</v>
      </c>
      <c r="O239" s="145">
        <v>0.26</v>
      </c>
      <c r="P239" s="145">
        <f>O239*H239</f>
        <v>22.639499999999998</v>
      </c>
      <c r="Q239" s="145">
        <v>0</v>
      </c>
      <c r="R239" s="145">
        <f>Q239*H239</f>
        <v>0</v>
      </c>
      <c r="S239" s="145">
        <v>0</v>
      </c>
      <c r="T239" s="146">
        <f>S239*H239</f>
        <v>0</v>
      </c>
      <c r="U239" s="31"/>
      <c r="V239" s="31"/>
      <c r="W239" s="31"/>
      <c r="X239" s="31"/>
      <c r="Y239" s="31"/>
      <c r="Z239" s="31"/>
      <c r="AA239" s="31"/>
      <c r="AB239" s="31"/>
      <c r="AC239" s="31"/>
      <c r="AD239" s="31"/>
      <c r="AE239" s="31"/>
      <c r="AR239" s="147" t="s">
        <v>144</v>
      </c>
      <c r="AT239" s="147" t="s">
        <v>141</v>
      </c>
      <c r="AU239" s="147" t="s">
        <v>82</v>
      </c>
      <c r="AY239" s="19" t="s">
        <v>138</v>
      </c>
      <c r="BE239" s="148">
        <f>IF(N239="základní",J239,0)</f>
        <v>0</v>
      </c>
      <c r="BF239" s="148">
        <f>IF(N239="snížená",J239,0)</f>
        <v>0</v>
      </c>
      <c r="BG239" s="148">
        <f>IF(N239="zákl. přenesená",J239,0)</f>
        <v>0</v>
      </c>
      <c r="BH239" s="148">
        <f>IF(N239="sníž. přenesená",J239,0)</f>
        <v>0</v>
      </c>
      <c r="BI239" s="148">
        <f>IF(N239="nulová",J239,0)</f>
        <v>0</v>
      </c>
      <c r="BJ239" s="19" t="s">
        <v>80</v>
      </c>
      <c r="BK239" s="148">
        <f>ROUND(I239*H239,2)</f>
        <v>0</v>
      </c>
      <c r="BL239" s="19" t="s">
        <v>144</v>
      </c>
      <c r="BM239" s="147" t="s">
        <v>273</v>
      </c>
    </row>
    <row r="240" spans="1:65" s="2" customFormat="1" ht="146.25">
      <c r="A240" s="31"/>
      <c r="B240" s="32"/>
      <c r="C240" s="31"/>
      <c r="D240" s="150" t="s">
        <v>149</v>
      </c>
      <c r="E240" s="31"/>
      <c r="F240" s="163" t="s">
        <v>270</v>
      </c>
      <c r="G240" s="31"/>
      <c r="H240" s="31"/>
      <c r="I240" s="31"/>
      <c r="J240" s="31"/>
      <c r="K240" s="31"/>
      <c r="L240" s="32"/>
      <c r="M240" s="164"/>
      <c r="N240" s="165"/>
      <c r="O240" s="52"/>
      <c r="P240" s="52"/>
      <c r="Q240" s="52"/>
      <c r="R240" s="52"/>
      <c r="S240" s="52"/>
      <c r="T240" s="53"/>
      <c r="U240" s="31"/>
      <c r="V240" s="31"/>
      <c r="W240" s="31"/>
      <c r="X240" s="31"/>
      <c r="Y240" s="31"/>
      <c r="Z240" s="31"/>
      <c r="AA240" s="31"/>
      <c r="AB240" s="31"/>
      <c r="AC240" s="31"/>
      <c r="AD240" s="31"/>
      <c r="AE240" s="31"/>
      <c r="AT240" s="19" t="s">
        <v>149</v>
      </c>
      <c r="AU240" s="19" t="s">
        <v>82</v>
      </c>
    </row>
    <row r="241" spans="1:65" s="14" customFormat="1">
      <c r="B241" s="156"/>
      <c r="D241" s="150" t="s">
        <v>145</v>
      </c>
      <c r="F241" s="158" t="s">
        <v>1452</v>
      </c>
      <c r="H241" s="159">
        <f>H237*5</f>
        <v>87.074999999999989</v>
      </c>
      <c r="L241" s="156"/>
      <c r="M241" s="160"/>
      <c r="N241" s="161"/>
      <c r="O241" s="161"/>
      <c r="P241" s="161"/>
      <c r="Q241" s="161"/>
      <c r="R241" s="161"/>
      <c r="S241" s="161"/>
      <c r="T241" s="162"/>
      <c r="AT241" s="157" t="s">
        <v>145</v>
      </c>
      <c r="AU241" s="157" t="s">
        <v>82</v>
      </c>
      <c r="AV241" s="14" t="s">
        <v>82</v>
      </c>
      <c r="AW241" s="14" t="s">
        <v>4</v>
      </c>
      <c r="AX241" s="14" t="s">
        <v>80</v>
      </c>
      <c r="AY241" s="157" t="s">
        <v>138</v>
      </c>
    </row>
    <row r="242" spans="1:65" s="2" customFormat="1" ht="24.2" customHeight="1">
      <c r="A242" s="31"/>
      <c r="B242" s="136"/>
      <c r="C242" s="137">
        <v>28</v>
      </c>
      <c r="D242" s="137" t="s">
        <v>141</v>
      </c>
      <c r="E242" s="138" t="s">
        <v>274</v>
      </c>
      <c r="F242" s="139" t="s">
        <v>275</v>
      </c>
      <c r="G242" s="140" t="s">
        <v>160</v>
      </c>
      <c r="H242" s="141">
        <f>H237</f>
        <v>17.414999999999999</v>
      </c>
      <c r="I242" s="142"/>
      <c r="J242" s="142">
        <f>ROUND(I242*H242,2)</f>
        <v>0</v>
      </c>
      <c r="K242" s="139" t="s">
        <v>148</v>
      </c>
      <c r="L242" s="32"/>
      <c r="M242" s="143" t="s">
        <v>3</v>
      </c>
      <c r="N242" s="144" t="s">
        <v>43</v>
      </c>
      <c r="O242" s="145">
        <v>0.125</v>
      </c>
      <c r="P242" s="145">
        <f>O242*H242</f>
        <v>2.1768749999999999</v>
      </c>
      <c r="Q242" s="145">
        <v>0</v>
      </c>
      <c r="R242" s="145">
        <f>Q242*H242</f>
        <v>0</v>
      </c>
      <c r="S242" s="145">
        <v>0</v>
      </c>
      <c r="T242" s="146">
        <f>S242*H242</f>
        <v>0</v>
      </c>
      <c r="U242" s="31"/>
      <c r="V242" s="31"/>
      <c r="W242" s="31"/>
      <c r="X242" s="31"/>
      <c r="Y242" s="31"/>
      <c r="Z242" s="31"/>
      <c r="AA242" s="31"/>
      <c r="AB242" s="31"/>
      <c r="AC242" s="31"/>
      <c r="AD242" s="31"/>
      <c r="AE242" s="31"/>
      <c r="AR242" s="147" t="s">
        <v>144</v>
      </c>
      <c r="AT242" s="147" t="s">
        <v>141</v>
      </c>
      <c r="AU242" s="147" t="s">
        <v>82</v>
      </c>
      <c r="AY242" s="19" t="s">
        <v>138</v>
      </c>
      <c r="BE242" s="148">
        <f>IF(N242="základní",J242,0)</f>
        <v>0</v>
      </c>
      <c r="BF242" s="148">
        <f>IF(N242="snížená",J242,0)</f>
        <v>0</v>
      </c>
      <c r="BG242" s="148">
        <f>IF(N242="zákl. přenesená",J242,0)</f>
        <v>0</v>
      </c>
      <c r="BH242" s="148">
        <f>IF(N242="sníž. přenesená",J242,0)</f>
        <v>0</v>
      </c>
      <c r="BI242" s="148">
        <f>IF(N242="nulová",J242,0)</f>
        <v>0</v>
      </c>
      <c r="BJ242" s="19" t="s">
        <v>80</v>
      </c>
      <c r="BK242" s="148">
        <f>ROUND(I242*H242,2)</f>
        <v>0</v>
      </c>
      <c r="BL242" s="19" t="s">
        <v>144</v>
      </c>
      <c r="BM242" s="147" t="s">
        <v>276</v>
      </c>
    </row>
    <row r="243" spans="1:65" s="2" customFormat="1" ht="107.25">
      <c r="A243" s="31"/>
      <c r="B243" s="32"/>
      <c r="C243" s="31"/>
      <c r="D243" s="150" t="s">
        <v>149</v>
      </c>
      <c r="E243" s="31"/>
      <c r="F243" s="163" t="s">
        <v>277</v>
      </c>
      <c r="G243" s="31"/>
      <c r="H243" s="31"/>
      <c r="I243" s="31"/>
      <c r="J243" s="31"/>
      <c r="K243" s="31"/>
      <c r="L243" s="32"/>
      <c r="M243" s="164"/>
      <c r="N243" s="165"/>
      <c r="O243" s="52"/>
      <c r="P243" s="52"/>
      <c r="Q243" s="52"/>
      <c r="R243" s="52"/>
      <c r="S243" s="52"/>
      <c r="T243" s="53"/>
      <c r="U243" s="31"/>
      <c r="V243" s="31"/>
      <c r="W243" s="31"/>
      <c r="X243" s="31"/>
      <c r="Y243" s="31"/>
      <c r="Z243" s="31"/>
      <c r="AA243" s="31"/>
      <c r="AB243" s="31"/>
      <c r="AC243" s="31"/>
      <c r="AD243" s="31"/>
      <c r="AE243" s="31"/>
      <c r="AT243" s="19" t="s">
        <v>149</v>
      </c>
      <c r="AU243" s="19" t="s">
        <v>82</v>
      </c>
    </row>
    <row r="244" spans="1:65" s="2" customFormat="1" ht="37.9" customHeight="1">
      <c r="A244" s="31"/>
      <c r="B244" s="136"/>
      <c r="C244" s="137">
        <v>29</v>
      </c>
      <c r="D244" s="137" t="s">
        <v>141</v>
      </c>
      <c r="E244" s="138" t="s">
        <v>278</v>
      </c>
      <c r="F244" s="139" t="s">
        <v>279</v>
      </c>
      <c r="G244" s="140" t="s">
        <v>160</v>
      </c>
      <c r="H244" s="141">
        <f>H246</f>
        <v>417.96</v>
      </c>
      <c r="I244" s="142"/>
      <c r="J244" s="142">
        <f>ROUND(I244*H244,2)</f>
        <v>0</v>
      </c>
      <c r="K244" s="139" t="s">
        <v>148</v>
      </c>
      <c r="L244" s="32"/>
      <c r="M244" s="143" t="s">
        <v>3</v>
      </c>
      <c r="N244" s="144" t="s">
        <v>43</v>
      </c>
      <c r="O244" s="145">
        <v>6.0000000000000001E-3</v>
      </c>
      <c r="P244" s="145">
        <f>O244*H244</f>
        <v>2.5077599999999998</v>
      </c>
      <c r="Q244" s="145">
        <v>0</v>
      </c>
      <c r="R244" s="145">
        <f>Q244*H244</f>
        <v>0</v>
      </c>
      <c r="S244" s="145">
        <v>0</v>
      </c>
      <c r="T244" s="146">
        <f>S244*H244</f>
        <v>0</v>
      </c>
      <c r="U244" s="31"/>
      <c r="V244" s="31"/>
      <c r="W244" s="31"/>
      <c r="X244" s="31"/>
      <c r="Y244" s="31"/>
      <c r="Z244" s="31"/>
      <c r="AA244" s="31"/>
      <c r="AB244" s="31"/>
      <c r="AC244" s="31"/>
      <c r="AD244" s="31"/>
      <c r="AE244" s="31"/>
      <c r="AR244" s="147" t="s">
        <v>144</v>
      </c>
      <c r="AT244" s="147" t="s">
        <v>141</v>
      </c>
      <c r="AU244" s="147" t="s">
        <v>82</v>
      </c>
      <c r="AY244" s="19" t="s">
        <v>138</v>
      </c>
      <c r="BE244" s="148">
        <f>IF(N244="základní",J244,0)</f>
        <v>0</v>
      </c>
      <c r="BF244" s="148">
        <f>IF(N244="snížená",J244,0)</f>
        <v>0</v>
      </c>
      <c r="BG244" s="148">
        <f>IF(N244="zákl. přenesená",J244,0)</f>
        <v>0</v>
      </c>
      <c r="BH244" s="148">
        <f>IF(N244="sníž. přenesená",J244,0)</f>
        <v>0</v>
      </c>
      <c r="BI244" s="148">
        <f>IF(N244="nulová",J244,0)</f>
        <v>0</v>
      </c>
      <c r="BJ244" s="19" t="s">
        <v>80</v>
      </c>
      <c r="BK244" s="148">
        <f>ROUND(I244*H244,2)</f>
        <v>0</v>
      </c>
      <c r="BL244" s="19" t="s">
        <v>144</v>
      </c>
      <c r="BM244" s="147" t="s">
        <v>280</v>
      </c>
    </row>
    <row r="245" spans="1:65" s="2" customFormat="1" ht="107.25">
      <c r="A245" s="31"/>
      <c r="B245" s="32"/>
      <c r="C245" s="31"/>
      <c r="D245" s="150" t="s">
        <v>149</v>
      </c>
      <c r="E245" s="31"/>
      <c r="F245" s="163" t="s">
        <v>277</v>
      </c>
      <c r="G245" s="31"/>
      <c r="H245" s="31"/>
      <c r="I245" s="31"/>
      <c r="J245" s="31"/>
      <c r="K245" s="31"/>
      <c r="L245" s="32"/>
      <c r="M245" s="164"/>
      <c r="N245" s="165"/>
      <c r="O245" s="52"/>
      <c r="P245" s="52"/>
      <c r="Q245" s="52"/>
      <c r="R245" s="52"/>
      <c r="S245" s="52"/>
      <c r="T245" s="53"/>
      <c r="U245" s="31"/>
      <c r="V245" s="31"/>
      <c r="W245" s="31"/>
      <c r="X245" s="31"/>
      <c r="Y245" s="31"/>
      <c r="Z245" s="31"/>
      <c r="AA245" s="31"/>
      <c r="AB245" s="31"/>
      <c r="AC245" s="31"/>
      <c r="AD245" s="31"/>
      <c r="AE245" s="31"/>
      <c r="AT245" s="19" t="s">
        <v>149</v>
      </c>
      <c r="AU245" s="19" t="s">
        <v>82</v>
      </c>
    </row>
    <row r="246" spans="1:65" s="14" customFormat="1">
      <c r="B246" s="156"/>
      <c r="D246" s="150" t="s">
        <v>145</v>
      </c>
      <c r="F246" s="158" t="s">
        <v>1453</v>
      </c>
      <c r="H246" s="159">
        <f>H237*24</f>
        <v>417.96</v>
      </c>
      <c r="L246" s="156"/>
      <c r="M246" s="160"/>
      <c r="N246" s="161"/>
      <c r="O246" s="161"/>
      <c r="P246" s="161"/>
      <c r="Q246" s="161"/>
      <c r="R246" s="161"/>
      <c r="S246" s="161"/>
      <c r="T246" s="162"/>
      <c r="AT246" s="157" t="s">
        <v>145</v>
      </c>
      <c r="AU246" s="157" t="s">
        <v>82</v>
      </c>
      <c r="AV246" s="14" t="s">
        <v>82</v>
      </c>
      <c r="AW246" s="14" t="s">
        <v>4</v>
      </c>
      <c r="AX246" s="14" t="s">
        <v>80</v>
      </c>
      <c r="AY246" s="157" t="s">
        <v>138</v>
      </c>
    </row>
    <row r="247" spans="1:65" s="2" customFormat="1" ht="37.9" customHeight="1">
      <c r="A247" s="31"/>
      <c r="B247" s="136"/>
      <c r="C247" s="137">
        <v>30</v>
      </c>
      <c r="D247" s="137" t="s">
        <v>141</v>
      </c>
      <c r="E247" s="138" t="s">
        <v>281</v>
      </c>
      <c r="F247" s="139" t="s">
        <v>282</v>
      </c>
      <c r="G247" s="140" t="s">
        <v>160</v>
      </c>
      <c r="H247" s="141">
        <f>H237</f>
        <v>17.414999999999999</v>
      </c>
      <c r="I247" s="142"/>
      <c r="J247" s="142">
        <f>ROUND(I247*H247,2)</f>
        <v>0</v>
      </c>
      <c r="K247" s="139" t="s">
        <v>148</v>
      </c>
      <c r="L247" s="32"/>
      <c r="M247" s="143" t="s">
        <v>3</v>
      </c>
      <c r="N247" s="144" t="s">
        <v>43</v>
      </c>
      <c r="O247" s="145">
        <v>0</v>
      </c>
      <c r="P247" s="145">
        <f>O247*H247</f>
        <v>0</v>
      </c>
      <c r="Q247" s="145">
        <v>0</v>
      </c>
      <c r="R247" s="145">
        <f>Q247*H247</f>
        <v>0</v>
      </c>
      <c r="S247" s="145">
        <v>0</v>
      </c>
      <c r="T247" s="146">
        <f>S247*H247</f>
        <v>0</v>
      </c>
      <c r="U247" s="31"/>
      <c r="V247" s="31"/>
      <c r="W247" s="31"/>
      <c r="X247" s="31"/>
      <c r="Y247" s="31"/>
      <c r="Z247" s="31"/>
      <c r="AA247" s="31"/>
      <c r="AB247" s="31"/>
      <c r="AC247" s="31"/>
      <c r="AD247" s="31"/>
      <c r="AE247" s="31"/>
      <c r="AR247" s="147" t="s">
        <v>144</v>
      </c>
      <c r="AT247" s="147" t="s">
        <v>141</v>
      </c>
      <c r="AU247" s="147" t="s">
        <v>82</v>
      </c>
      <c r="AY247" s="19" t="s">
        <v>138</v>
      </c>
      <c r="BE247" s="148">
        <f>IF(N247="základní",J247,0)</f>
        <v>0</v>
      </c>
      <c r="BF247" s="148">
        <f>IF(N247="snížená",J247,0)</f>
        <v>0</v>
      </c>
      <c r="BG247" s="148">
        <f>IF(N247="zákl. přenesená",J247,0)</f>
        <v>0</v>
      </c>
      <c r="BH247" s="148">
        <f>IF(N247="sníž. přenesená",J247,0)</f>
        <v>0</v>
      </c>
      <c r="BI247" s="148">
        <f>IF(N247="nulová",J247,0)</f>
        <v>0</v>
      </c>
      <c r="BJ247" s="19" t="s">
        <v>80</v>
      </c>
      <c r="BK247" s="148">
        <f>ROUND(I247*H247,2)</f>
        <v>0</v>
      </c>
      <c r="BL247" s="19" t="s">
        <v>144</v>
      </c>
      <c r="BM247" s="147" t="s">
        <v>283</v>
      </c>
    </row>
    <row r="248" spans="1:65" s="2" customFormat="1" ht="107.25">
      <c r="A248" s="31"/>
      <c r="B248" s="32"/>
      <c r="C248" s="31"/>
      <c r="D248" s="150" t="s">
        <v>149</v>
      </c>
      <c r="E248" s="31"/>
      <c r="F248" s="163" t="s">
        <v>284</v>
      </c>
      <c r="G248" s="31"/>
      <c r="H248" s="31"/>
      <c r="I248" s="31"/>
      <c r="J248" s="31"/>
      <c r="K248" s="31"/>
      <c r="L248" s="32"/>
      <c r="M248" s="164"/>
      <c r="N248" s="165"/>
      <c r="O248" s="52"/>
      <c r="P248" s="52"/>
      <c r="Q248" s="52"/>
      <c r="R248" s="52"/>
      <c r="S248" s="52"/>
      <c r="T248" s="53"/>
      <c r="U248" s="31"/>
      <c r="V248" s="31"/>
      <c r="W248" s="31"/>
      <c r="X248" s="31"/>
      <c r="Y248" s="31"/>
      <c r="Z248" s="31"/>
      <c r="AA248" s="31"/>
      <c r="AB248" s="31"/>
      <c r="AC248" s="31"/>
      <c r="AD248" s="31"/>
      <c r="AE248" s="31"/>
      <c r="AT248" s="19" t="s">
        <v>149</v>
      </c>
      <c r="AU248" s="19" t="s">
        <v>82</v>
      </c>
    </row>
    <row r="249" spans="1:65" s="12" customFormat="1" ht="22.9" customHeight="1">
      <c r="B249" s="124"/>
      <c r="D249" s="125" t="s">
        <v>71</v>
      </c>
      <c r="E249" s="134" t="s">
        <v>285</v>
      </c>
      <c r="F249" s="134" t="s">
        <v>286</v>
      </c>
      <c r="J249" s="135">
        <f>BK249</f>
        <v>0</v>
      </c>
      <c r="L249" s="124"/>
      <c r="M249" s="128"/>
      <c r="N249" s="129"/>
      <c r="O249" s="129"/>
      <c r="P249" s="130">
        <f>SUM(P250:P251)</f>
        <v>133.85058666666669</v>
      </c>
      <c r="Q249" s="129"/>
      <c r="R249" s="130">
        <f>SUM(R250:R251)</f>
        <v>0</v>
      </c>
      <c r="S249" s="129"/>
      <c r="T249" s="131">
        <f>SUM(T250:T251)</f>
        <v>0</v>
      </c>
      <c r="AR249" s="125" t="s">
        <v>80</v>
      </c>
      <c r="AT249" s="132" t="s">
        <v>71</v>
      </c>
      <c r="AU249" s="132" t="s">
        <v>80</v>
      </c>
      <c r="AY249" s="125" t="s">
        <v>138</v>
      </c>
      <c r="BK249" s="133">
        <f>SUM(BK250:BK251)</f>
        <v>0</v>
      </c>
    </row>
    <row r="250" spans="1:65" s="2" customFormat="1" ht="49.15" customHeight="1">
      <c r="A250" s="31"/>
      <c r="B250" s="136"/>
      <c r="C250" s="137">
        <v>31</v>
      </c>
      <c r="D250" s="137" t="s">
        <v>141</v>
      </c>
      <c r="E250" s="138" t="s">
        <v>287</v>
      </c>
      <c r="F250" s="139" t="s">
        <v>288</v>
      </c>
      <c r="G250" s="140" t="s">
        <v>160</v>
      </c>
      <c r="H250" s="141">
        <f>49.697/3*2</f>
        <v>33.131333333333338</v>
      </c>
      <c r="I250" s="142"/>
      <c r="J250" s="142">
        <f>ROUND(I250*H250,2)</f>
        <v>0</v>
      </c>
      <c r="K250" s="139" t="s">
        <v>148</v>
      </c>
      <c r="L250" s="32"/>
      <c r="M250" s="143" t="s">
        <v>3</v>
      </c>
      <c r="N250" s="144" t="s">
        <v>43</v>
      </c>
      <c r="O250" s="145">
        <v>4.04</v>
      </c>
      <c r="P250" s="145">
        <f>O250*H250</f>
        <v>133.85058666666669</v>
      </c>
      <c r="Q250" s="145">
        <v>0</v>
      </c>
      <c r="R250" s="145">
        <f>Q250*H250</f>
        <v>0</v>
      </c>
      <c r="S250" s="145">
        <v>0</v>
      </c>
      <c r="T250" s="146">
        <f>S250*H250</f>
        <v>0</v>
      </c>
      <c r="U250" s="31"/>
      <c r="V250" s="31"/>
      <c r="W250" s="31"/>
      <c r="X250" s="31"/>
      <c r="Y250" s="31"/>
      <c r="Z250" s="31"/>
      <c r="AA250" s="31"/>
      <c r="AB250" s="31"/>
      <c r="AC250" s="31"/>
      <c r="AD250" s="31"/>
      <c r="AE250" s="31"/>
      <c r="AR250" s="147" t="s">
        <v>144</v>
      </c>
      <c r="AT250" s="147" t="s">
        <v>141</v>
      </c>
      <c r="AU250" s="147" t="s">
        <v>82</v>
      </c>
      <c r="AY250" s="19" t="s">
        <v>138</v>
      </c>
      <c r="BE250" s="148">
        <f>IF(N250="základní",J250,0)</f>
        <v>0</v>
      </c>
      <c r="BF250" s="148">
        <f>IF(N250="snížená",J250,0)</f>
        <v>0</v>
      </c>
      <c r="BG250" s="148">
        <f>IF(N250="zákl. přenesená",J250,0)</f>
        <v>0</v>
      </c>
      <c r="BH250" s="148">
        <f>IF(N250="sníž. přenesená",J250,0)</f>
        <v>0</v>
      </c>
      <c r="BI250" s="148">
        <f>IF(N250="nulová",J250,0)</f>
        <v>0</v>
      </c>
      <c r="BJ250" s="19" t="s">
        <v>80</v>
      </c>
      <c r="BK250" s="148">
        <f>ROUND(I250*H250,2)</f>
        <v>0</v>
      </c>
      <c r="BL250" s="19" t="s">
        <v>144</v>
      </c>
      <c r="BM250" s="147" t="s">
        <v>289</v>
      </c>
    </row>
    <row r="251" spans="1:65" s="2" customFormat="1" ht="87.75">
      <c r="A251" s="31"/>
      <c r="B251" s="32"/>
      <c r="C251" s="31"/>
      <c r="D251" s="150" t="s">
        <v>149</v>
      </c>
      <c r="E251" s="31"/>
      <c r="F251" s="163" t="s">
        <v>290</v>
      </c>
      <c r="G251" s="31"/>
      <c r="H251" s="31"/>
      <c r="I251" s="31"/>
      <c r="J251" s="31"/>
      <c r="K251" s="31"/>
      <c r="L251" s="32"/>
      <c r="M251" s="164"/>
      <c r="N251" s="165"/>
      <c r="O251" s="52"/>
      <c r="P251" s="52"/>
      <c r="Q251" s="52"/>
      <c r="R251" s="52"/>
      <c r="S251" s="52"/>
      <c r="T251" s="53"/>
      <c r="U251" s="31"/>
      <c r="V251" s="31"/>
      <c r="W251" s="31"/>
      <c r="X251" s="31"/>
      <c r="Y251" s="31"/>
      <c r="Z251" s="31"/>
      <c r="AA251" s="31"/>
      <c r="AB251" s="31"/>
      <c r="AC251" s="31"/>
      <c r="AD251" s="31"/>
      <c r="AE251" s="31"/>
      <c r="AT251" s="19" t="s">
        <v>149</v>
      </c>
      <c r="AU251" s="19" t="s">
        <v>82</v>
      </c>
    </row>
    <row r="252" spans="1:65" s="12" customFormat="1" ht="25.9" customHeight="1">
      <c r="B252" s="124"/>
      <c r="C252" s="285"/>
      <c r="D252" s="321" t="s">
        <v>71</v>
      </c>
      <c r="E252" s="322" t="s">
        <v>291</v>
      </c>
      <c r="F252" s="322" t="s">
        <v>292</v>
      </c>
      <c r="G252" s="285"/>
      <c r="H252" s="285"/>
      <c r="I252" s="285"/>
      <c r="J252" s="323">
        <f>J253+J285+J354+J418+J460+J545+J566</f>
        <v>0</v>
      </c>
      <c r="K252" s="285"/>
      <c r="L252" s="124"/>
      <c r="M252" s="128"/>
      <c r="N252" s="129"/>
      <c r="O252" s="129"/>
      <c r="P252" s="130" t="e">
        <f>P253+#REF!+P285+#REF!+P354+#REF!+P418+#REF!+P460+P545+P566+#REF!</f>
        <v>#REF!</v>
      </c>
      <c r="Q252" s="129"/>
      <c r="R252" s="130" t="e">
        <f>R253+#REF!+R285+#REF!+R354+#REF!+R418+#REF!+R460+R545+R566+#REF!</f>
        <v>#REF!</v>
      </c>
      <c r="S252" s="129"/>
      <c r="T252" s="131" t="e">
        <f>T253+#REF!+T285+#REF!+T354+#REF!+T418+#REF!+T460+T545+T566+#REF!</f>
        <v>#REF!</v>
      </c>
      <c r="AR252" s="125" t="s">
        <v>82</v>
      </c>
      <c r="AT252" s="132" t="s">
        <v>71</v>
      </c>
      <c r="AU252" s="132" t="s">
        <v>72</v>
      </c>
      <c r="AY252" s="125" t="s">
        <v>138</v>
      </c>
      <c r="BK252" s="133" t="e">
        <f>BK253+#REF!+BK285+#REF!+BK354+#REF!+BK418+#REF!+BK460+BK545+BK566+#REF!</f>
        <v>#REF!</v>
      </c>
    </row>
    <row r="253" spans="1:65" s="12" customFormat="1" ht="22.9" customHeight="1">
      <c r="B253" s="124"/>
      <c r="D253" s="125" t="s">
        <v>71</v>
      </c>
      <c r="E253" s="134" t="s">
        <v>293</v>
      </c>
      <c r="F253" s="134" t="s">
        <v>294</v>
      </c>
      <c r="J253" s="135">
        <f>BK253</f>
        <v>0</v>
      </c>
      <c r="L253" s="124"/>
      <c r="M253" s="128"/>
      <c r="N253" s="129"/>
      <c r="O253" s="129"/>
      <c r="P253" s="130">
        <f>SUM(P268:P284)</f>
        <v>17.596799999999995</v>
      </c>
      <c r="Q253" s="129"/>
      <c r="R253" s="130">
        <f>SUM(R268:R284)</f>
        <v>0.20888399999999996</v>
      </c>
      <c r="S253" s="129"/>
      <c r="T253" s="131">
        <f>SUM(T268:T284)</f>
        <v>0</v>
      </c>
      <c r="AR253" s="125" t="s">
        <v>82</v>
      </c>
      <c r="AT253" s="132" t="s">
        <v>71</v>
      </c>
      <c r="AU253" s="132" t="s">
        <v>80</v>
      </c>
      <c r="AY253" s="125" t="s">
        <v>138</v>
      </c>
      <c r="BK253" s="133">
        <f>SUM(BK268:BK284)</f>
        <v>0</v>
      </c>
    </row>
    <row r="254" spans="1:65" s="2" customFormat="1" ht="37.9" customHeight="1">
      <c r="B254" s="301"/>
      <c r="C254" s="137">
        <v>32</v>
      </c>
      <c r="D254" s="137" t="s">
        <v>141</v>
      </c>
      <c r="E254" s="138" t="s">
        <v>1455</v>
      </c>
      <c r="F254" s="139" t="s">
        <v>1465</v>
      </c>
      <c r="G254" s="140" t="s">
        <v>173</v>
      </c>
      <c r="H254" s="141">
        <f>H261</f>
        <v>51.333799999999997</v>
      </c>
      <c r="I254" s="142"/>
      <c r="J254" s="142">
        <f>ROUND(I254*H254,2)</f>
        <v>0</v>
      </c>
      <c r="K254" s="139" t="s">
        <v>143</v>
      </c>
      <c r="L254" s="89"/>
      <c r="M254" s="143" t="s">
        <v>3</v>
      </c>
      <c r="N254" s="302" t="s">
        <v>43</v>
      </c>
      <c r="O254" s="303">
        <v>1.6819999999999999</v>
      </c>
      <c r="P254" s="303">
        <f>O254*H254</f>
        <v>86.343451599999995</v>
      </c>
      <c r="Q254" s="303">
        <v>4.9450000000000001E-2</v>
      </c>
      <c r="R254" s="303">
        <f>Q254*H254</f>
        <v>2.5384564099999998</v>
      </c>
      <c r="S254" s="303">
        <v>0</v>
      </c>
      <c r="T254" s="146">
        <f>S254*H254</f>
        <v>0</v>
      </c>
      <c r="AR254" s="147" t="s">
        <v>200</v>
      </c>
      <c r="AT254" s="147" t="s">
        <v>141</v>
      </c>
      <c r="AU254" s="147" t="s">
        <v>82</v>
      </c>
      <c r="AY254" s="304" t="s">
        <v>138</v>
      </c>
      <c r="BE254" s="305">
        <f>IF(N254="základní",J254,0)</f>
        <v>0</v>
      </c>
      <c r="BF254" s="305">
        <f>IF(N254="snížená",J254,0)</f>
        <v>0</v>
      </c>
      <c r="BG254" s="305">
        <f>IF(N254="zákl. přenesená",J254,0)</f>
        <v>0</v>
      </c>
      <c r="BH254" s="305">
        <f>IF(N254="sníž. přenesená",J254,0)</f>
        <v>0</v>
      </c>
      <c r="BI254" s="305">
        <f>IF(N254="nulová",J254,0)</f>
        <v>0</v>
      </c>
      <c r="BJ254" s="304" t="s">
        <v>80</v>
      </c>
      <c r="BK254" s="305">
        <f>ROUND(I254*H254,2)</f>
        <v>0</v>
      </c>
      <c r="BL254" s="304" t="s">
        <v>200</v>
      </c>
      <c r="BM254" s="147" t="s">
        <v>1456</v>
      </c>
    </row>
    <row r="255" spans="1:65" s="2" customFormat="1" ht="156">
      <c r="B255" s="89"/>
      <c r="D255" s="150" t="s">
        <v>149</v>
      </c>
      <c r="F255" s="163" t="s">
        <v>1457</v>
      </c>
      <c r="L255" s="89"/>
      <c r="M255" s="314"/>
      <c r="N255" s="315"/>
      <c r="O255" s="315"/>
      <c r="P255" s="315"/>
      <c r="Q255" s="315"/>
      <c r="R255" s="315"/>
      <c r="S255" s="315"/>
      <c r="T255" s="316"/>
      <c r="AT255" s="304" t="s">
        <v>149</v>
      </c>
      <c r="AU255" s="304" t="s">
        <v>82</v>
      </c>
    </row>
    <row r="256" spans="1:65" s="2" customFormat="1" ht="68.25">
      <c r="B256" s="89"/>
      <c r="D256" s="150" t="s">
        <v>242</v>
      </c>
      <c r="F256" s="163" t="s">
        <v>1466</v>
      </c>
      <c r="L256" s="89"/>
      <c r="M256" s="314"/>
      <c r="N256" s="315"/>
      <c r="O256" s="315"/>
      <c r="P256" s="315"/>
      <c r="Q256" s="315"/>
      <c r="R256" s="315"/>
      <c r="S256" s="315"/>
      <c r="T256" s="316"/>
      <c r="AT256" s="304" t="s">
        <v>242</v>
      </c>
      <c r="AU256" s="304" t="s">
        <v>82</v>
      </c>
    </row>
    <row r="257" spans="1:65" s="13" customFormat="1">
      <c r="B257" s="149"/>
      <c r="D257" s="150" t="s">
        <v>145</v>
      </c>
      <c r="E257" s="151" t="s">
        <v>3</v>
      </c>
      <c r="F257" s="152" t="s">
        <v>1467</v>
      </c>
      <c r="H257" s="151" t="s">
        <v>3</v>
      </c>
      <c r="L257" s="149"/>
      <c r="M257" s="153"/>
      <c r="N257" s="306"/>
      <c r="O257" s="306"/>
      <c r="P257" s="306"/>
      <c r="Q257" s="306"/>
      <c r="R257" s="306"/>
      <c r="S257" s="306"/>
      <c r="T257" s="155"/>
      <c r="AT257" s="151" t="s">
        <v>145</v>
      </c>
      <c r="AU257" s="151" t="s">
        <v>82</v>
      </c>
      <c r="AV257" s="13" t="s">
        <v>80</v>
      </c>
      <c r="AW257" s="13" t="s">
        <v>34</v>
      </c>
      <c r="AX257" s="13" t="s">
        <v>72</v>
      </c>
      <c r="AY257" s="151" t="s">
        <v>138</v>
      </c>
    </row>
    <row r="258" spans="1:65" s="14" customFormat="1">
      <c r="B258" s="156"/>
      <c r="D258" s="150" t="s">
        <v>145</v>
      </c>
      <c r="E258" s="157" t="s">
        <v>3</v>
      </c>
      <c r="F258" s="158" t="s">
        <v>1468</v>
      </c>
      <c r="H258" s="159">
        <f>(1.68+5.33+5.37+4.6+1.1+3.32)*2.72</f>
        <v>58.207999999999998</v>
      </c>
      <c r="L258" s="156"/>
      <c r="M258" s="160"/>
      <c r="N258" s="307"/>
      <c r="O258" s="307"/>
      <c r="P258" s="307"/>
      <c r="Q258" s="307"/>
      <c r="R258" s="307"/>
      <c r="S258" s="307"/>
      <c r="T258" s="162"/>
      <c r="AT258" s="157" t="s">
        <v>145</v>
      </c>
      <c r="AU258" s="157" t="s">
        <v>82</v>
      </c>
      <c r="AV258" s="14" t="s">
        <v>82</v>
      </c>
      <c r="AW258" s="14" t="s">
        <v>34</v>
      </c>
      <c r="AX258" s="14" t="s">
        <v>80</v>
      </c>
      <c r="AY258" s="157" t="s">
        <v>138</v>
      </c>
    </row>
    <row r="259" spans="1:65" s="13" customFormat="1">
      <c r="B259" s="149"/>
      <c r="D259" s="150" t="s">
        <v>145</v>
      </c>
      <c r="E259" s="151" t="s">
        <v>3</v>
      </c>
      <c r="F259" s="152" t="s">
        <v>1469</v>
      </c>
      <c r="H259" s="151" t="s">
        <v>3</v>
      </c>
      <c r="L259" s="149"/>
      <c r="M259" s="153"/>
      <c r="N259" s="306"/>
      <c r="O259" s="306"/>
      <c r="P259" s="306"/>
      <c r="Q259" s="306"/>
      <c r="R259" s="306"/>
      <c r="S259" s="306"/>
      <c r="T259" s="155"/>
      <c r="AT259" s="151" t="s">
        <v>145</v>
      </c>
      <c r="AU259" s="151" t="s">
        <v>82</v>
      </c>
      <c r="AV259" s="13" t="s">
        <v>80</v>
      </c>
      <c r="AW259" s="13" t="s">
        <v>34</v>
      </c>
      <c r="AX259" s="13" t="s">
        <v>72</v>
      </c>
      <c r="AY259" s="151" t="s">
        <v>138</v>
      </c>
    </row>
    <row r="260" spans="1:65" s="14" customFormat="1">
      <c r="B260" s="156"/>
      <c r="D260" s="150" t="s">
        <v>145</v>
      </c>
      <c r="E260" s="157" t="s">
        <v>3</v>
      </c>
      <c r="F260" s="158" t="s">
        <v>1470</v>
      </c>
      <c r="H260" s="159">
        <f>(0.88*3+0.78)*2.01</f>
        <v>6.8741999999999992</v>
      </c>
      <c r="L260" s="156"/>
      <c r="M260" s="160"/>
      <c r="N260" s="307"/>
      <c r="O260" s="307"/>
      <c r="P260" s="307"/>
      <c r="Q260" s="307"/>
      <c r="R260" s="307"/>
      <c r="S260" s="307"/>
      <c r="T260" s="162"/>
      <c r="AT260" s="157" t="s">
        <v>145</v>
      </c>
      <c r="AU260" s="157" t="s">
        <v>82</v>
      </c>
      <c r="AV260" s="14" t="s">
        <v>82</v>
      </c>
      <c r="AW260" s="14" t="s">
        <v>34</v>
      </c>
      <c r="AX260" s="14" t="s">
        <v>80</v>
      </c>
      <c r="AY260" s="157" t="s">
        <v>138</v>
      </c>
    </row>
    <row r="261" spans="1:65" s="15" customFormat="1">
      <c r="B261" s="166"/>
      <c r="D261" s="150" t="s">
        <v>145</v>
      </c>
      <c r="E261" s="167" t="s">
        <v>3</v>
      </c>
      <c r="F261" s="168" t="s">
        <v>151</v>
      </c>
      <c r="H261" s="169">
        <f>H258-H260</f>
        <v>51.333799999999997</v>
      </c>
      <c r="L261" s="166"/>
      <c r="M261" s="170"/>
      <c r="N261" s="171"/>
      <c r="O261" s="171"/>
      <c r="P261" s="171"/>
      <c r="Q261" s="171"/>
      <c r="R261" s="171"/>
      <c r="S261" s="171"/>
      <c r="T261" s="172"/>
      <c r="AT261" s="167" t="s">
        <v>145</v>
      </c>
      <c r="AU261" s="167" t="s">
        <v>82</v>
      </c>
      <c r="AV261" s="15" t="s">
        <v>144</v>
      </c>
      <c r="AW261" s="15" t="s">
        <v>34</v>
      </c>
      <c r="AX261" s="15" t="s">
        <v>80</v>
      </c>
      <c r="AY261" s="167" t="s">
        <v>138</v>
      </c>
    </row>
    <row r="262" spans="1:65" s="2" customFormat="1" ht="24.2" customHeight="1">
      <c r="B262" s="301"/>
      <c r="C262" s="137">
        <v>33</v>
      </c>
      <c r="D262" s="137" t="s">
        <v>141</v>
      </c>
      <c r="E262" s="138" t="s">
        <v>1458</v>
      </c>
      <c r="F262" s="139" t="s">
        <v>1459</v>
      </c>
      <c r="G262" s="140" t="s">
        <v>173</v>
      </c>
      <c r="H262" s="141">
        <v>63.304000000000002</v>
      </c>
      <c r="I262" s="142"/>
      <c r="J262" s="142">
        <f>ROUND(I262*H262,2)</f>
        <v>0</v>
      </c>
      <c r="K262" s="139" t="s">
        <v>148</v>
      </c>
      <c r="L262" s="89"/>
      <c r="M262" s="143" t="s">
        <v>3</v>
      </c>
      <c r="N262" s="302" t="s">
        <v>43</v>
      </c>
      <c r="O262" s="303">
        <v>0.2</v>
      </c>
      <c r="P262" s="303">
        <f>O262*H262</f>
        <v>12.660800000000002</v>
      </c>
      <c r="Q262" s="303">
        <v>1.4E-3</v>
      </c>
      <c r="R262" s="303">
        <f>Q262*H262</f>
        <v>8.8625599999999999E-2</v>
      </c>
      <c r="S262" s="303">
        <v>0</v>
      </c>
      <c r="T262" s="146">
        <f>S262*H262</f>
        <v>0</v>
      </c>
      <c r="AR262" s="147" t="s">
        <v>200</v>
      </c>
      <c r="AT262" s="147" t="s">
        <v>141</v>
      </c>
      <c r="AU262" s="147" t="s">
        <v>82</v>
      </c>
      <c r="AY262" s="304" t="s">
        <v>138</v>
      </c>
      <c r="BE262" s="305">
        <f>IF(N262="základní",J262,0)</f>
        <v>0</v>
      </c>
      <c r="BF262" s="305">
        <f>IF(N262="snížená",J262,0)</f>
        <v>0</v>
      </c>
      <c r="BG262" s="305">
        <f>IF(N262="zákl. přenesená",J262,0)</f>
        <v>0</v>
      </c>
      <c r="BH262" s="305">
        <f>IF(N262="sníž. přenesená",J262,0)</f>
        <v>0</v>
      </c>
      <c r="BI262" s="305">
        <f>IF(N262="nulová",J262,0)</f>
        <v>0</v>
      </c>
      <c r="BJ262" s="304" t="s">
        <v>80</v>
      </c>
      <c r="BK262" s="305">
        <f>ROUND(I262*H262,2)</f>
        <v>0</v>
      </c>
      <c r="BL262" s="304" t="s">
        <v>200</v>
      </c>
      <c r="BM262" s="147" t="s">
        <v>1460</v>
      </c>
    </row>
    <row r="263" spans="1:65" s="2" customFormat="1" ht="165.75">
      <c r="B263" s="89"/>
      <c r="D263" s="150" t="s">
        <v>149</v>
      </c>
      <c r="F263" s="163" t="s">
        <v>1461</v>
      </c>
      <c r="L263" s="89"/>
      <c r="M263" s="314"/>
      <c r="N263" s="315"/>
      <c r="O263" s="315"/>
      <c r="P263" s="315"/>
      <c r="Q263" s="315"/>
      <c r="R263" s="315"/>
      <c r="S263" s="315"/>
      <c r="T263" s="316"/>
      <c r="AT263" s="304" t="s">
        <v>149</v>
      </c>
      <c r="AU263" s="304" t="s">
        <v>82</v>
      </c>
    </row>
    <row r="264" spans="1:65" s="13" customFormat="1">
      <c r="B264" s="149"/>
      <c r="D264" s="150" t="s">
        <v>145</v>
      </c>
      <c r="E264" s="151" t="s">
        <v>3</v>
      </c>
      <c r="F264" s="152" t="s">
        <v>198</v>
      </c>
      <c r="H264" s="151" t="s">
        <v>3</v>
      </c>
      <c r="L264" s="149"/>
      <c r="M264" s="153"/>
      <c r="N264" s="306"/>
      <c r="O264" s="306"/>
      <c r="P264" s="306"/>
      <c r="Q264" s="306"/>
      <c r="R264" s="306"/>
      <c r="S264" s="306"/>
      <c r="T264" s="155"/>
      <c r="AT264" s="151" t="s">
        <v>145</v>
      </c>
      <c r="AU264" s="151" t="s">
        <v>82</v>
      </c>
      <c r="AV264" s="13" t="s">
        <v>80</v>
      </c>
      <c r="AW264" s="13" t="s">
        <v>34</v>
      </c>
      <c r="AX264" s="13" t="s">
        <v>72</v>
      </c>
      <c r="AY264" s="151" t="s">
        <v>138</v>
      </c>
    </row>
    <row r="265" spans="1:65" s="14" customFormat="1">
      <c r="B265" s="156"/>
      <c r="D265" s="150" t="s">
        <v>145</v>
      </c>
      <c r="E265" s="157" t="s">
        <v>3</v>
      </c>
      <c r="F265" s="158" t="s">
        <v>1471</v>
      </c>
      <c r="H265" s="159">
        <f>H254*2</f>
        <v>102.66759999999999</v>
      </c>
      <c r="L265" s="156"/>
      <c r="M265" s="160"/>
      <c r="N265" s="307"/>
      <c r="O265" s="307"/>
      <c r="P265" s="307"/>
      <c r="Q265" s="307"/>
      <c r="R265" s="307"/>
      <c r="S265" s="307"/>
      <c r="T265" s="162"/>
      <c r="AT265" s="157" t="s">
        <v>145</v>
      </c>
      <c r="AU265" s="157" t="s">
        <v>82</v>
      </c>
      <c r="AV265" s="14" t="s">
        <v>82</v>
      </c>
      <c r="AW265" s="14" t="s">
        <v>34</v>
      </c>
      <c r="AX265" s="14" t="s">
        <v>80</v>
      </c>
      <c r="AY265" s="157" t="s">
        <v>138</v>
      </c>
    </row>
    <row r="266" spans="1:65" s="2" customFormat="1" ht="37.9" customHeight="1">
      <c r="B266" s="301"/>
      <c r="C266" s="137">
        <v>34</v>
      </c>
      <c r="D266" s="137" t="s">
        <v>141</v>
      </c>
      <c r="E266" s="138" t="s">
        <v>1462</v>
      </c>
      <c r="F266" s="139" t="s">
        <v>1463</v>
      </c>
      <c r="G266" s="140" t="s">
        <v>173</v>
      </c>
      <c r="H266" s="141">
        <f>H254</f>
        <v>51.333799999999997</v>
      </c>
      <c r="I266" s="142"/>
      <c r="J266" s="142">
        <f>ROUND(I266*H266,2)</f>
        <v>0</v>
      </c>
      <c r="K266" s="139" t="s">
        <v>148</v>
      </c>
      <c r="L266" s="89"/>
      <c r="M266" s="143" t="s">
        <v>3</v>
      </c>
      <c r="N266" s="302" t="s">
        <v>43</v>
      </c>
      <c r="O266" s="303">
        <v>6.4000000000000001E-2</v>
      </c>
      <c r="P266" s="303">
        <f>O266*H266</f>
        <v>3.2853631999999999</v>
      </c>
      <c r="Q266" s="303">
        <v>2.0000000000000001E-4</v>
      </c>
      <c r="R266" s="303">
        <f>Q266*H266</f>
        <v>1.026676E-2</v>
      </c>
      <c r="S266" s="303">
        <v>0</v>
      </c>
      <c r="T266" s="146">
        <f>S266*H266</f>
        <v>0</v>
      </c>
      <c r="AR266" s="147" t="s">
        <v>200</v>
      </c>
      <c r="AT266" s="147" t="s">
        <v>141</v>
      </c>
      <c r="AU266" s="147" t="s">
        <v>82</v>
      </c>
      <c r="AY266" s="304" t="s">
        <v>138</v>
      </c>
      <c r="BE266" s="305">
        <f>IF(N266="základní",J266,0)</f>
        <v>0</v>
      </c>
      <c r="BF266" s="305">
        <f>IF(N266="snížená",J266,0)</f>
        <v>0</v>
      </c>
      <c r="BG266" s="305">
        <f>IF(N266="zákl. přenesená",J266,0)</f>
        <v>0</v>
      </c>
      <c r="BH266" s="305">
        <f>IF(N266="sníž. přenesená",J266,0)</f>
        <v>0</v>
      </c>
      <c r="BI266" s="305">
        <f>IF(N266="nulová",J266,0)</f>
        <v>0</v>
      </c>
      <c r="BJ266" s="304" t="s">
        <v>80</v>
      </c>
      <c r="BK266" s="305">
        <f>ROUND(I266*H266,2)</f>
        <v>0</v>
      </c>
      <c r="BL266" s="304" t="s">
        <v>200</v>
      </c>
      <c r="BM266" s="147" t="s">
        <v>1464</v>
      </c>
    </row>
    <row r="267" spans="1:65" s="2" customFormat="1" ht="165.75">
      <c r="B267" s="89"/>
      <c r="D267" s="150" t="s">
        <v>149</v>
      </c>
      <c r="F267" s="163" t="s">
        <v>1461</v>
      </c>
      <c r="L267" s="89"/>
      <c r="M267" s="314"/>
      <c r="N267" s="315"/>
      <c r="O267" s="315"/>
      <c r="P267" s="315"/>
      <c r="Q267" s="315"/>
      <c r="R267" s="315"/>
      <c r="S267" s="315"/>
      <c r="T267" s="316"/>
      <c r="AT267" s="304" t="s">
        <v>149</v>
      </c>
      <c r="AU267" s="304" t="s">
        <v>82</v>
      </c>
    </row>
    <row r="268" spans="1:65" s="2" customFormat="1" ht="49.15" customHeight="1">
      <c r="A268" s="31"/>
      <c r="B268" s="136"/>
      <c r="C268" s="137">
        <v>35</v>
      </c>
      <c r="D268" s="137" t="s">
        <v>141</v>
      </c>
      <c r="E268" s="138" t="s">
        <v>295</v>
      </c>
      <c r="F268" s="139" t="s">
        <v>296</v>
      </c>
      <c r="G268" s="140" t="s">
        <v>173</v>
      </c>
      <c r="H268" s="141">
        <f>H276</f>
        <v>15.599999999999998</v>
      </c>
      <c r="I268" s="142"/>
      <c r="J268" s="142">
        <f>ROUND(I268*H268,2)</f>
        <v>0</v>
      </c>
      <c r="K268" s="139" t="s">
        <v>148</v>
      </c>
      <c r="L268" s="32"/>
      <c r="M268" s="143" t="s">
        <v>3</v>
      </c>
      <c r="N268" s="144" t="s">
        <v>43</v>
      </c>
      <c r="O268" s="145">
        <v>0.96799999999999997</v>
      </c>
      <c r="P268" s="145">
        <f>O268*H268</f>
        <v>15.100799999999998</v>
      </c>
      <c r="Q268" s="145">
        <v>1.259E-2</v>
      </c>
      <c r="R268" s="145">
        <f>Q268*H268</f>
        <v>0.19640399999999997</v>
      </c>
      <c r="S268" s="145">
        <v>0</v>
      </c>
      <c r="T268" s="146">
        <f>S268*H268</f>
        <v>0</v>
      </c>
      <c r="U268" s="31"/>
      <c r="V268" s="31"/>
      <c r="W268" s="31"/>
      <c r="X268" s="31"/>
      <c r="Y268" s="31"/>
      <c r="Z268" s="31"/>
      <c r="AA268" s="31"/>
      <c r="AB268" s="31"/>
      <c r="AC268" s="31"/>
      <c r="AD268" s="31"/>
      <c r="AE268" s="31"/>
      <c r="AR268" s="147" t="s">
        <v>200</v>
      </c>
      <c r="AT268" s="147" t="s">
        <v>141</v>
      </c>
      <c r="AU268" s="147" t="s">
        <v>82</v>
      </c>
      <c r="AY268" s="19" t="s">
        <v>138</v>
      </c>
      <c r="BE268" s="148">
        <f>IF(N268="základní",J268,0)</f>
        <v>0</v>
      </c>
      <c r="BF268" s="148">
        <f>IF(N268="snížená",J268,0)</f>
        <v>0</v>
      </c>
      <c r="BG268" s="148">
        <f>IF(N268="zákl. přenesená",J268,0)</f>
        <v>0</v>
      </c>
      <c r="BH268" s="148">
        <f>IF(N268="sníž. přenesená",J268,0)</f>
        <v>0</v>
      </c>
      <c r="BI268" s="148">
        <f>IF(N268="nulová",J268,0)</f>
        <v>0</v>
      </c>
      <c r="BJ268" s="19" t="s">
        <v>80</v>
      </c>
      <c r="BK268" s="148">
        <f>ROUND(I268*H268,2)</f>
        <v>0</v>
      </c>
      <c r="BL268" s="19" t="s">
        <v>200</v>
      </c>
      <c r="BM268" s="147" t="s">
        <v>297</v>
      </c>
    </row>
    <row r="269" spans="1:65" s="2" customFormat="1" ht="146.25">
      <c r="A269" s="31"/>
      <c r="B269" s="32"/>
      <c r="C269" s="31"/>
      <c r="D269" s="150" t="s">
        <v>149</v>
      </c>
      <c r="E269" s="31"/>
      <c r="F269" s="163" t="s">
        <v>298</v>
      </c>
      <c r="G269" s="31"/>
      <c r="H269" s="31"/>
      <c r="I269" s="31"/>
      <c r="J269" s="31"/>
      <c r="K269" s="31"/>
      <c r="L269" s="32"/>
      <c r="M269" s="164"/>
      <c r="N269" s="165"/>
      <c r="O269" s="52"/>
      <c r="P269" s="52"/>
      <c r="Q269" s="52"/>
      <c r="R269" s="52"/>
      <c r="S269" s="52"/>
      <c r="T269" s="53"/>
      <c r="U269" s="31"/>
      <c r="V269" s="31"/>
      <c r="W269" s="31"/>
      <c r="X269" s="31"/>
      <c r="Y269" s="31"/>
      <c r="Z269" s="31"/>
      <c r="AA269" s="31"/>
      <c r="AB269" s="31"/>
      <c r="AC269" s="31"/>
      <c r="AD269" s="31"/>
      <c r="AE269" s="31"/>
      <c r="AT269" s="19" t="s">
        <v>149</v>
      </c>
      <c r="AU269" s="19" t="s">
        <v>82</v>
      </c>
    </row>
    <row r="270" spans="1:65" s="2" customFormat="1" ht="19.5">
      <c r="A270" s="31"/>
      <c r="B270" s="32"/>
      <c r="C270" s="31"/>
      <c r="D270" s="150" t="s">
        <v>242</v>
      </c>
      <c r="E270" s="31"/>
      <c r="F270" s="163" t="s">
        <v>299</v>
      </c>
      <c r="G270" s="31"/>
      <c r="H270" s="31"/>
      <c r="I270" s="31"/>
      <c r="J270" s="31"/>
      <c r="K270" s="31"/>
      <c r="L270" s="32"/>
      <c r="M270" s="164"/>
      <c r="N270" s="165"/>
      <c r="O270" s="52"/>
      <c r="P270" s="52"/>
      <c r="Q270" s="52"/>
      <c r="R270" s="52"/>
      <c r="S270" s="52"/>
      <c r="T270" s="53"/>
      <c r="U270" s="31"/>
      <c r="V270" s="31"/>
      <c r="W270" s="31"/>
      <c r="X270" s="31"/>
      <c r="Y270" s="31"/>
      <c r="Z270" s="31"/>
      <c r="AA270" s="31"/>
      <c r="AB270" s="31"/>
      <c r="AC270" s="31"/>
      <c r="AD270" s="31"/>
      <c r="AE270" s="31"/>
      <c r="AT270" s="19" t="s">
        <v>242</v>
      </c>
      <c r="AU270" s="19" t="s">
        <v>82</v>
      </c>
    </row>
    <row r="271" spans="1:65" s="13" customFormat="1">
      <c r="B271" s="149"/>
      <c r="D271" s="150" t="s">
        <v>145</v>
      </c>
      <c r="E271" s="151" t="s">
        <v>3</v>
      </c>
      <c r="F271" s="152" t="s">
        <v>146</v>
      </c>
      <c r="H271" s="151" t="s">
        <v>3</v>
      </c>
      <c r="L271" s="149"/>
      <c r="M271" s="153"/>
      <c r="N271" s="154"/>
      <c r="O271" s="154"/>
      <c r="P271" s="154"/>
      <c r="Q271" s="154"/>
      <c r="R271" s="154"/>
      <c r="S271" s="154"/>
      <c r="T271" s="155"/>
      <c r="AT271" s="151" t="s">
        <v>145</v>
      </c>
      <c r="AU271" s="151" t="s">
        <v>82</v>
      </c>
      <c r="AV271" s="13" t="s">
        <v>80</v>
      </c>
      <c r="AW271" s="13" t="s">
        <v>34</v>
      </c>
      <c r="AX271" s="13" t="s">
        <v>72</v>
      </c>
      <c r="AY271" s="151" t="s">
        <v>138</v>
      </c>
    </row>
    <row r="272" spans="1:65" s="13" customFormat="1">
      <c r="B272" s="149"/>
      <c r="D272" s="150" t="s">
        <v>145</v>
      </c>
      <c r="E272" s="151" t="s">
        <v>3</v>
      </c>
      <c r="F272" s="152" t="s">
        <v>156</v>
      </c>
      <c r="H272" s="151" t="s">
        <v>3</v>
      </c>
      <c r="L272" s="149"/>
      <c r="M272" s="153"/>
      <c r="N272" s="154"/>
      <c r="O272" s="154"/>
      <c r="P272" s="154"/>
      <c r="Q272" s="154"/>
      <c r="R272" s="154"/>
      <c r="S272" s="154"/>
      <c r="T272" s="155"/>
      <c r="AT272" s="151" t="s">
        <v>145</v>
      </c>
      <c r="AU272" s="151" t="s">
        <v>82</v>
      </c>
      <c r="AV272" s="13" t="s">
        <v>80</v>
      </c>
      <c r="AW272" s="13" t="s">
        <v>34</v>
      </c>
      <c r="AX272" s="13" t="s">
        <v>72</v>
      </c>
      <c r="AY272" s="151" t="s">
        <v>138</v>
      </c>
    </row>
    <row r="273" spans="1:65" s="14" customFormat="1">
      <c r="B273" s="156"/>
      <c r="D273" s="150" t="s">
        <v>145</v>
      </c>
      <c r="E273" s="157" t="s">
        <v>3</v>
      </c>
      <c r="F273" s="158" t="s">
        <v>1472</v>
      </c>
      <c r="H273" s="159">
        <f>2.83+3.28+1.64+1.64</f>
        <v>9.3899999999999988</v>
      </c>
      <c r="L273" s="156"/>
      <c r="M273" s="160"/>
      <c r="N273" s="161"/>
      <c r="O273" s="161"/>
      <c r="P273" s="161"/>
      <c r="Q273" s="161"/>
      <c r="R273" s="161"/>
      <c r="S273" s="161"/>
      <c r="T273" s="162"/>
      <c r="AT273" s="157" t="s">
        <v>145</v>
      </c>
      <c r="AU273" s="157" t="s">
        <v>82</v>
      </c>
      <c r="AV273" s="14" t="s">
        <v>82</v>
      </c>
      <c r="AW273" s="14" t="s">
        <v>34</v>
      </c>
      <c r="AX273" s="14" t="s">
        <v>72</v>
      </c>
      <c r="AY273" s="157" t="s">
        <v>138</v>
      </c>
    </row>
    <row r="274" spans="1:65" s="13" customFormat="1">
      <c r="B274" s="149"/>
      <c r="D274" s="150" t="s">
        <v>145</v>
      </c>
      <c r="E274" s="151" t="s">
        <v>3</v>
      </c>
      <c r="F274" s="152" t="s">
        <v>157</v>
      </c>
      <c r="H274" s="151" t="s">
        <v>3</v>
      </c>
      <c r="L274" s="149"/>
      <c r="M274" s="153"/>
      <c r="N274" s="154"/>
      <c r="O274" s="154"/>
      <c r="P274" s="154"/>
      <c r="Q274" s="154"/>
      <c r="R274" s="154"/>
      <c r="S274" s="154"/>
      <c r="T274" s="155"/>
      <c r="AT274" s="151" t="s">
        <v>145</v>
      </c>
      <c r="AU274" s="151" t="s">
        <v>82</v>
      </c>
      <c r="AV274" s="13" t="s">
        <v>80</v>
      </c>
      <c r="AW274" s="13" t="s">
        <v>34</v>
      </c>
      <c r="AX274" s="13" t="s">
        <v>72</v>
      </c>
      <c r="AY274" s="151" t="s">
        <v>138</v>
      </c>
    </row>
    <row r="275" spans="1:65" s="14" customFormat="1">
      <c r="B275" s="156"/>
      <c r="D275" s="150" t="s">
        <v>145</v>
      </c>
      <c r="E275" s="157" t="s">
        <v>3</v>
      </c>
      <c r="F275" s="158" t="s">
        <v>1473</v>
      </c>
      <c r="H275" s="159">
        <f>2.34+1.87+2</f>
        <v>6.21</v>
      </c>
      <c r="L275" s="156"/>
      <c r="M275" s="160"/>
      <c r="N275" s="161"/>
      <c r="O275" s="161"/>
      <c r="P275" s="161"/>
      <c r="Q275" s="161"/>
      <c r="R275" s="161"/>
      <c r="S275" s="161"/>
      <c r="T275" s="162"/>
      <c r="AT275" s="157" t="s">
        <v>145</v>
      </c>
      <c r="AU275" s="157" t="s">
        <v>82</v>
      </c>
      <c r="AV275" s="14" t="s">
        <v>82</v>
      </c>
      <c r="AW275" s="14" t="s">
        <v>34</v>
      </c>
      <c r="AX275" s="14" t="s">
        <v>72</v>
      </c>
      <c r="AY275" s="157" t="s">
        <v>138</v>
      </c>
    </row>
    <row r="276" spans="1:65" s="15" customFormat="1">
      <c r="B276" s="166"/>
      <c r="D276" s="150" t="s">
        <v>145</v>
      </c>
      <c r="E276" s="167" t="s">
        <v>3</v>
      </c>
      <c r="F276" s="168" t="s">
        <v>151</v>
      </c>
      <c r="H276" s="169">
        <f>H273+H275</f>
        <v>15.599999999999998</v>
      </c>
      <c r="L276" s="166"/>
      <c r="M276" s="170"/>
      <c r="N276" s="171"/>
      <c r="O276" s="171"/>
      <c r="P276" s="171"/>
      <c r="Q276" s="171"/>
      <c r="R276" s="171"/>
      <c r="S276" s="171"/>
      <c r="T276" s="172"/>
      <c r="AT276" s="167" t="s">
        <v>145</v>
      </c>
      <c r="AU276" s="167" t="s">
        <v>82</v>
      </c>
      <c r="AV276" s="15" t="s">
        <v>144</v>
      </c>
      <c r="AW276" s="15" t="s">
        <v>34</v>
      </c>
      <c r="AX276" s="15" t="s">
        <v>80</v>
      </c>
      <c r="AY276" s="167" t="s">
        <v>138</v>
      </c>
    </row>
    <row r="277" spans="1:65" s="2" customFormat="1" ht="24.2" customHeight="1">
      <c r="A277" s="31"/>
      <c r="B277" s="136"/>
      <c r="C277" s="137">
        <v>36</v>
      </c>
      <c r="D277" s="137" t="s">
        <v>141</v>
      </c>
      <c r="E277" s="138" t="s">
        <v>300</v>
      </c>
      <c r="F277" s="139" t="s">
        <v>301</v>
      </c>
      <c r="G277" s="140" t="s">
        <v>173</v>
      </c>
      <c r="H277" s="141">
        <f>H268</f>
        <v>15.599999999999998</v>
      </c>
      <c r="I277" s="142"/>
      <c r="J277" s="142">
        <f>ROUND(I277*H277,2)</f>
        <v>0</v>
      </c>
      <c r="K277" s="139" t="s">
        <v>148</v>
      </c>
      <c r="L277" s="32"/>
      <c r="M277" s="143" t="s">
        <v>3</v>
      </c>
      <c r="N277" s="144" t="s">
        <v>43</v>
      </c>
      <c r="O277" s="145">
        <v>0.12</v>
      </c>
      <c r="P277" s="145">
        <f>O277*H277</f>
        <v>1.8719999999999997</v>
      </c>
      <c r="Q277" s="145">
        <v>6.9999999999999999E-4</v>
      </c>
      <c r="R277" s="145">
        <f>Q277*H277</f>
        <v>1.0919999999999999E-2</v>
      </c>
      <c r="S277" s="145">
        <v>0</v>
      </c>
      <c r="T277" s="146">
        <f>S277*H277</f>
        <v>0</v>
      </c>
      <c r="U277" s="31"/>
      <c r="V277" s="31"/>
      <c r="W277" s="31"/>
      <c r="X277" s="31"/>
      <c r="Y277" s="31"/>
      <c r="Z277" s="31"/>
      <c r="AA277" s="31"/>
      <c r="AB277" s="31"/>
      <c r="AC277" s="31"/>
      <c r="AD277" s="31"/>
      <c r="AE277" s="31"/>
      <c r="AR277" s="147" t="s">
        <v>200</v>
      </c>
      <c r="AT277" s="147" t="s">
        <v>141</v>
      </c>
      <c r="AU277" s="147" t="s">
        <v>82</v>
      </c>
      <c r="AY277" s="19" t="s">
        <v>138</v>
      </c>
      <c r="BE277" s="148">
        <f>IF(N277="základní",J277,0)</f>
        <v>0</v>
      </c>
      <c r="BF277" s="148">
        <f>IF(N277="snížená",J277,0)</f>
        <v>0</v>
      </c>
      <c r="BG277" s="148">
        <f>IF(N277="zákl. přenesená",J277,0)</f>
        <v>0</v>
      </c>
      <c r="BH277" s="148">
        <f>IF(N277="sníž. přenesená",J277,0)</f>
        <v>0</v>
      </c>
      <c r="BI277" s="148">
        <f>IF(N277="nulová",J277,0)</f>
        <v>0</v>
      </c>
      <c r="BJ277" s="19" t="s">
        <v>80</v>
      </c>
      <c r="BK277" s="148">
        <f>ROUND(I277*H277,2)</f>
        <v>0</v>
      </c>
      <c r="BL277" s="19" t="s">
        <v>200</v>
      </c>
      <c r="BM277" s="147" t="s">
        <v>302</v>
      </c>
    </row>
    <row r="278" spans="1:65" s="2" customFormat="1" ht="146.25">
      <c r="A278" s="31"/>
      <c r="B278" s="32"/>
      <c r="C278" s="31"/>
      <c r="D278" s="150" t="s">
        <v>149</v>
      </c>
      <c r="E278" s="31"/>
      <c r="F278" s="163" t="s">
        <v>298</v>
      </c>
      <c r="G278" s="31"/>
      <c r="H278" s="31"/>
      <c r="I278" s="31"/>
      <c r="J278" s="31"/>
      <c r="K278" s="31"/>
      <c r="L278" s="32"/>
      <c r="M278" s="164"/>
      <c r="N278" s="165"/>
      <c r="O278" s="52"/>
      <c r="P278" s="52"/>
      <c r="Q278" s="52"/>
      <c r="R278" s="52"/>
      <c r="S278" s="52"/>
      <c r="T278" s="53"/>
      <c r="U278" s="31"/>
      <c r="V278" s="31"/>
      <c r="W278" s="31"/>
      <c r="X278" s="31"/>
      <c r="Y278" s="31"/>
      <c r="Z278" s="31"/>
      <c r="AA278" s="31"/>
      <c r="AB278" s="31"/>
      <c r="AC278" s="31"/>
      <c r="AD278" s="31"/>
      <c r="AE278" s="31"/>
      <c r="AT278" s="19" t="s">
        <v>149</v>
      </c>
      <c r="AU278" s="19" t="s">
        <v>82</v>
      </c>
    </row>
    <row r="279" spans="1:65" s="2" customFormat="1" ht="37.9" customHeight="1">
      <c r="A279" s="31"/>
      <c r="B279" s="136"/>
      <c r="C279" s="137">
        <v>37</v>
      </c>
      <c r="D279" s="137" t="s">
        <v>141</v>
      </c>
      <c r="E279" s="138" t="s">
        <v>303</v>
      </c>
      <c r="F279" s="139" t="s">
        <v>304</v>
      </c>
      <c r="G279" s="140" t="s">
        <v>173</v>
      </c>
      <c r="H279" s="141">
        <f>H268</f>
        <v>15.599999999999998</v>
      </c>
      <c r="I279" s="142"/>
      <c r="J279" s="142">
        <f>ROUND(I279*H279,2)</f>
        <v>0</v>
      </c>
      <c r="K279" s="139" t="s">
        <v>148</v>
      </c>
      <c r="L279" s="32"/>
      <c r="M279" s="143" t="s">
        <v>3</v>
      </c>
      <c r="N279" s="144" t="s">
        <v>43</v>
      </c>
      <c r="O279" s="145">
        <v>0.04</v>
      </c>
      <c r="P279" s="145">
        <f>O279*H279</f>
        <v>0.62399999999999989</v>
      </c>
      <c r="Q279" s="145">
        <v>1E-4</v>
      </c>
      <c r="R279" s="145">
        <f>Q279*H279</f>
        <v>1.5599999999999998E-3</v>
      </c>
      <c r="S279" s="145">
        <v>0</v>
      </c>
      <c r="T279" s="146">
        <f>S279*H279</f>
        <v>0</v>
      </c>
      <c r="U279" s="31"/>
      <c r="V279" s="31"/>
      <c r="W279" s="31"/>
      <c r="X279" s="31"/>
      <c r="Y279" s="31"/>
      <c r="Z279" s="31"/>
      <c r="AA279" s="31"/>
      <c r="AB279" s="31"/>
      <c r="AC279" s="31"/>
      <c r="AD279" s="31"/>
      <c r="AE279" s="31"/>
      <c r="AR279" s="147" t="s">
        <v>200</v>
      </c>
      <c r="AT279" s="147" t="s">
        <v>141</v>
      </c>
      <c r="AU279" s="147" t="s">
        <v>82</v>
      </c>
      <c r="AY279" s="19" t="s">
        <v>138</v>
      </c>
      <c r="BE279" s="148">
        <f>IF(N279="základní",J279,0)</f>
        <v>0</v>
      </c>
      <c r="BF279" s="148">
        <f>IF(N279="snížená",J279,0)</f>
        <v>0</v>
      </c>
      <c r="BG279" s="148">
        <f>IF(N279="zákl. přenesená",J279,0)</f>
        <v>0</v>
      </c>
      <c r="BH279" s="148">
        <f>IF(N279="sníž. přenesená",J279,0)</f>
        <v>0</v>
      </c>
      <c r="BI279" s="148">
        <f>IF(N279="nulová",J279,0)</f>
        <v>0</v>
      </c>
      <c r="BJ279" s="19" t="s">
        <v>80</v>
      </c>
      <c r="BK279" s="148">
        <f>ROUND(I279*H279,2)</f>
        <v>0</v>
      </c>
      <c r="BL279" s="19" t="s">
        <v>200</v>
      </c>
      <c r="BM279" s="147" t="s">
        <v>305</v>
      </c>
    </row>
    <row r="280" spans="1:65" s="2" customFormat="1" ht="146.25">
      <c r="A280" s="31"/>
      <c r="B280" s="32"/>
      <c r="C280" s="31"/>
      <c r="D280" s="150" t="s">
        <v>149</v>
      </c>
      <c r="E280" s="31"/>
      <c r="F280" s="163" t="s">
        <v>298</v>
      </c>
      <c r="G280" s="31"/>
      <c r="H280" s="31"/>
      <c r="I280" s="31"/>
      <c r="J280" s="31"/>
      <c r="K280" s="31"/>
      <c r="L280" s="32"/>
      <c r="M280" s="164"/>
      <c r="N280" s="165"/>
      <c r="O280" s="52"/>
      <c r="P280" s="52"/>
      <c r="Q280" s="52"/>
      <c r="R280" s="52"/>
      <c r="S280" s="52"/>
      <c r="T280" s="53"/>
      <c r="U280" s="31"/>
      <c r="V280" s="31"/>
      <c r="W280" s="31"/>
      <c r="X280" s="31"/>
      <c r="Y280" s="31"/>
      <c r="Z280" s="31"/>
      <c r="AA280" s="31"/>
      <c r="AB280" s="31"/>
      <c r="AC280" s="31"/>
      <c r="AD280" s="31"/>
      <c r="AE280" s="31"/>
      <c r="AT280" s="19" t="s">
        <v>149</v>
      </c>
      <c r="AU280" s="19" t="s">
        <v>82</v>
      </c>
    </row>
    <row r="281" spans="1:65" s="2" customFormat="1" ht="37.9" customHeight="1">
      <c r="A281" s="31"/>
      <c r="B281" s="136"/>
      <c r="C281" s="137">
        <v>38</v>
      </c>
      <c r="D281" s="137" t="s">
        <v>141</v>
      </c>
      <c r="E281" s="138" t="s">
        <v>306</v>
      </c>
      <c r="F281" s="139" t="s">
        <v>307</v>
      </c>
      <c r="G281" s="140" t="s">
        <v>308</v>
      </c>
      <c r="H281" s="141">
        <f>SUM(J254:J280)/100</f>
        <v>0</v>
      </c>
      <c r="I281" s="142"/>
      <c r="J281" s="142">
        <f>ROUND(I281*H281,2)</f>
        <v>0</v>
      </c>
      <c r="K281" s="139" t="s">
        <v>148</v>
      </c>
      <c r="L281" s="32"/>
      <c r="M281" s="143" t="s">
        <v>3</v>
      </c>
      <c r="N281" s="144" t="s">
        <v>43</v>
      </c>
      <c r="O281" s="145">
        <v>0</v>
      </c>
      <c r="P281" s="145">
        <f>O281*H281</f>
        <v>0</v>
      </c>
      <c r="Q281" s="145">
        <v>0</v>
      </c>
      <c r="R281" s="145">
        <f>Q281*H281</f>
        <v>0</v>
      </c>
      <c r="S281" s="145">
        <v>0</v>
      </c>
      <c r="T281" s="146">
        <f>S281*H281</f>
        <v>0</v>
      </c>
      <c r="U281" s="31"/>
      <c r="V281" s="31"/>
      <c r="W281" s="31"/>
      <c r="X281" s="31"/>
      <c r="Y281" s="31"/>
      <c r="Z281" s="31"/>
      <c r="AA281" s="31"/>
      <c r="AB281" s="31"/>
      <c r="AC281" s="31"/>
      <c r="AD281" s="31"/>
      <c r="AE281" s="31"/>
      <c r="AR281" s="147" t="s">
        <v>200</v>
      </c>
      <c r="AT281" s="147" t="s">
        <v>141</v>
      </c>
      <c r="AU281" s="147" t="s">
        <v>82</v>
      </c>
      <c r="AY281" s="19" t="s">
        <v>138</v>
      </c>
      <c r="BE281" s="148">
        <f>IF(N281="základní",J281,0)</f>
        <v>0</v>
      </c>
      <c r="BF281" s="148">
        <f>IF(N281="snížená",J281,0)</f>
        <v>0</v>
      </c>
      <c r="BG281" s="148">
        <f>IF(N281="zákl. přenesená",J281,0)</f>
        <v>0</v>
      </c>
      <c r="BH281" s="148">
        <f>IF(N281="sníž. přenesená",J281,0)</f>
        <v>0</v>
      </c>
      <c r="BI281" s="148">
        <f>IF(N281="nulová",J281,0)</f>
        <v>0</v>
      </c>
      <c r="BJ281" s="19" t="s">
        <v>80</v>
      </c>
      <c r="BK281" s="148">
        <f>ROUND(I281*H281,2)</f>
        <v>0</v>
      </c>
      <c r="BL281" s="19" t="s">
        <v>200</v>
      </c>
      <c r="BM281" s="147" t="s">
        <v>309</v>
      </c>
    </row>
    <row r="282" spans="1:65" s="2" customFormat="1" ht="146.25">
      <c r="A282" s="31"/>
      <c r="B282" s="32"/>
      <c r="C282" s="31"/>
      <c r="D282" s="150" t="s">
        <v>149</v>
      </c>
      <c r="E282" s="31"/>
      <c r="F282" s="163" t="s">
        <v>310</v>
      </c>
      <c r="G282" s="31"/>
      <c r="H282" s="31"/>
      <c r="I282" s="31"/>
      <c r="J282" s="31"/>
      <c r="K282" s="31"/>
      <c r="L282" s="32"/>
      <c r="M282" s="164"/>
      <c r="N282" s="165"/>
      <c r="O282" s="52"/>
      <c r="P282" s="52"/>
      <c r="Q282" s="52"/>
      <c r="R282" s="52"/>
      <c r="S282" s="52"/>
      <c r="T282" s="53"/>
      <c r="U282" s="31"/>
      <c r="V282" s="31"/>
      <c r="W282" s="31"/>
      <c r="X282" s="31"/>
      <c r="Y282" s="31"/>
      <c r="Z282" s="31"/>
      <c r="AA282" s="31"/>
      <c r="AB282" s="31"/>
      <c r="AC282" s="31"/>
      <c r="AD282" s="31"/>
      <c r="AE282" s="31"/>
      <c r="AT282" s="19" t="s">
        <v>149</v>
      </c>
      <c r="AU282" s="19" t="s">
        <v>82</v>
      </c>
    </row>
    <row r="283" spans="1:65" s="2" customFormat="1" ht="49.15" customHeight="1">
      <c r="A283" s="31"/>
      <c r="B283" s="136"/>
      <c r="C283" s="137">
        <v>39</v>
      </c>
      <c r="D283" s="137" t="s">
        <v>141</v>
      </c>
      <c r="E283" s="138" t="s">
        <v>311</v>
      </c>
      <c r="F283" s="139" t="s">
        <v>312</v>
      </c>
      <c r="G283" s="140" t="s">
        <v>308</v>
      </c>
      <c r="H283" s="141">
        <f>H281</f>
        <v>0</v>
      </c>
      <c r="I283" s="142"/>
      <c r="J283" s="142">
        <f>ROUND(I283*H283,2)</f>
        <v>0</v>
      </c>
      <c r="K283" s="139" t="s">
        <v>148</v>
      </c>
      <c r="L283" s="32"/>
      <c r="M283" s="143" t="s">
        <v>3</v>
      </c>
      <c r="N283" s="144" t="s">
        <v>43</v>
      </c>
      <c r="O283" s="145">
        <v>0</v>
      </c>
      <c r="P283" s="145">
        <f>O283*H283</f>
        <v>0</v>
      </c>
      <c r="Q283" s="145">
        <v>0</v>
      </c>
      <c r="R283" s="145">
        <f>Q283*H283</f>
        <v>0</v>
      </c>
      <c r="S283" s="145">
        <v>0</v>
      </c>
      <c r="T283" s="146">
        <f>S283*H283</f>
        <v>0</v>
      </c>
      <c r="U283" s="31"/>
      <c r="V283" s="31"/>
      <c r="W283" s="31"/>
      <c r="X283" s="31"/>
      <c r="Y283" s="31"/>
      <c r="Z283" s="31"/>
      <c r="AA283" s="31"/>
      <c r="AB283" s="31"/>
      <c r="AC283" s="31"/>
      <c r="AD283" s="31"/>
      <c r="AE283" s="31"/>
      <c r="AR283" s="147" t="s">
        <v>200</v>
      </c>
      <c r="AT283" s="147" t="s">
        <v>141</v>
      </c>
      <c r="AU283" s="147" t="s">
        <v>82</v>
      </c>
      <c r="AY283" s="19" t="s">
        <v>138</v>
      </c>
      <c r="BE283" s="148">
        <f>IF(N283="základní",J283,0)</f>
        <v>0</v>
      </c>
      <c r="BF283" s="148">
        <f>IF(N283="snížená",J283,0)</f>
        <v>0</v>
      </c>
      <c r="BG283" s="148">
        <f>IF(N283="zákl. přenesená",J283,0)</f>
        <v>0</v>
      </c>
      <c r="BH283" s="148">
        <f>IF(N283="sníž. přenesená",J283,0)</f>
        <v>0</v>
      </c>
      <c r="BI283" s="148">
        <f>IF(N283="nulová",J283,0)</f>
        <v>0</v>
      </c>
      <c r="BJ283" s="19" t="s">
        <v>80</v>
      </c>
      <c r="BK283" s="148">
        <f>ROUND(I283*H283,2)</f>
        <v>0</v>
      </c>
      <c r="BL283" s="19" t="s">
        <v>200</v>
      </c>
      <c r="BM283" s="147" t="s">
        <v>313</v>
      </c>
    </row>
    <row r="284" spans="1:65" s="2" customFormat="1" ht="146.25">
      <c r="A284" s="31"/>
      <c r="B284" s="32"/>
      <c r="C284" s="31"/>
      <c r="D284" s="150" t="s">
        <v>149</v>
      </c>
      <c r="E284" s="31"/>
      <c r="F284" s="163" t="s">
        <v>310</v>
      </c>
      <c r="G284" s="31"/>
      <c r="H284" s="31"/>
      <c r="I284" s="31"/>
      <c r="J284" s="31"/>
      <c r="K284" s="31"/>
      <c r="L284" s="32"/>
      <c r="M284" s="164"/>
      <c r="N284" s="165"/>
      <c r="O284" s="52"/>
      <c r="P284" s="52"/>
      <c r="Q284" s="52"/>
      <c r="R284" s="52"/>
      <c r="S284" s="52"/>
      <c r="T284" s="53"/>
      <c r="U284" s="31"/>
      <c r="V284" s="31"/>
      <c r="W284" s="31"/>
      <c r="X284" s="31"/>
      <c r="Y284" s="31"/>
      <c r="Z284" s="31"/>
      <c r="AA284" s="31"/>
      <c r="AB284" s="31"/>
      <c r="AC284" s="31"/>
      <c r="AD284" s="31"/>
      <c r="AE284" s="31"/>
      <c r="AT284" s="19" t="s">
        <v>149</v>
      </c>
      <c r="AU284" s="19" t="s">
        <v>82</v>
      </c>
    </row>
    <row r="285" spans="1:65" s="12" customFormat="1" ht="22.9" customHeight="1">
      <c r="B285" s="124"/>
      <c r="D285" s="125" t="s">
        <v>71</v>
      </c>
      <c r="E285" s="134" t="s">
        <v>314</v>
      </c>
      <c r="F285" s="134" t="s">
        <v>315</v>
      </c>
      <c r="J285" s="135">
        <f>BK285</f>
        <v>0</v>
      </c>
      <c r="L285" s="124"/>
      <c r="M285" s="128"/>
      <c r="N285" s="129"/>
      <c r="O285" s="129"/>
      <c r="P285" s="130">
        <f>SUM(P295:P353)</f>
        <v>42.335999999999999</v>
      </c>
      <c r="Q285" s="129"/>
      <c r="R285" s="130">
        <f>SUM(R295:R353)</f>
        <v>0</v>
      </c>
      <c r="S285" s="129"/>
      <c r="T285" s="131">
        <f>SUM(T295:T353)</f>
        <v>0</v>
      </c>
      <c r="AR285" s="125" t="s">
        <v>82</v>
      </c>
      <c r="AT285" s="132" t="s">
        <v>71</v>
      </c>
      <c r="AU285" s="132" t="s">
        <v>80</v>
      </c>
      <c r="AY285" s="125" t="s">
        <v>138</v>
      </c>
      <c r="BK285" s="133">
        <f>SUM(BK295:BK353)</f>
        <v>0</v>
      </c>
    </row>
    <row r="286" spans="1:65" s="2" customFormat="1" ht="37.9" customHeight="1">
      <c r="B286" s="301"/>
      <c r="C286" s="137">
        <v>40</v>
      </c>
      <c r="D286" s="137" t="s">
        <v>141</v>
      </c>
      <c r="E286" s="138" t="s">
        <v>1477</v>
      </c>
      <c r="F286" s="139" t="s">
        <v>1476</v>
      </c>
      <c r="G286" s="140" t="s">
        <v>173</v>
      </c>
      <c r="H286" s="141">
        <f>H294</f>
        <v>3.6349999999999998</v>
      </c>
      <c r="I286" s="142"/>
      <c r="J286" s="142">
        <f>ROUND(I286*H286,2)</f>
        <v>0</v>
      </c>
      <c r="K286" s="139" t="s">
        <v>148</v>
      </c>
      <c r="L286" s="89"/>
      <c r="M286" s="143" t="s">
        <v>3</v>
      </c>
      <c r="N286" s="302" t="s">
        <v>43</v>
      </c>
      <c r="O286" s="303">
        <v>0.68300000000000005</v>
      </c>
      <c r="P286" s="303">
        <f>O286*H286</f>
        <v>2.4827050000000002</v>
      </c>
      <c r="Q286" s="303">
        <v>0</v>
      </c>
      <c r="R286" s="303">
        <f>Q286*H286</f>
        <v>0</v>
      </c>
      <c r="S286" s="303">
        <v>0</v>
      </c>
      <c r="T286" s="146">
        <f>S286*H286</f>
        <v>0</v>
      </c>
      <c r="AR286" s="147" t="s">
        <v>200</v>
      </c>
      <c r="AT286" s="147" t="s">
        <v>141</v>
      </c>
      <c r="AU286" s="147" t="s">
        <v>82</v>
      </c>
      <c r="AY286" s="304" t="s">
        <v>138</v>
      </c>
      <c r="BE286" s="305">
        <f>IF(N286="základní",J286,0)</f>
        <v>0</v>
      </c>
      <c r="BF286" s="305">
        <f>IF(N286="snížená",J286,0)</f>
        <v>0</v>
      </c>
      <c r="BG286" s="305">
        <f>IF(N286="zákl. přenesená",J286,0)</f>
        <v>0</v>
      </c>
      <c r="BH286" s="305">
        <f>IF(N286="sníž. přenesená",J286,0)</f>
        <v>0</v>
      </c>
      <c r="BI286" s="305">
        <f>IF(N286="nulová",J286,0)</f>
        <v>0</v>
      </c>
      <c r="BJ286" s="304" t="s">
        <v>80</v>
      </c>
      <c r="BK286" s="305">
        <f>ROUND(I286*H286,2)</f>
        <v>0</v>
      </c>
      <c r="BL286" s="304" t="s">
        <v>200</v>
      </c>
      <c r="BM286" s="147" t="s">
        <v>1478</v>
      </c>
    </row>
    <row r="287" spans="1:65" s="2" customFormat="1" ht="107.25">
      <c r="B287" s="89"/>
      <c r="D287" s="150" t="s">
        <v>149</v>
      </c>
      <c r="F287" s="163" t="s">
        <v>316</v>
      </c>
      <c r="L287" s="89"/>
      <c r="M287" s="314"/>
      <c r="N287" s="315"/>
      <c r="O287" s="315"/>
      <c r="P287" s="315"/>
      <c r="Q287" s="315"/>
      <c r="R287" s="315"/>
      <c r="S287" s="315"/>
      <c r="T287" s="316"/>
      <c r="AT287" s="304" t="s">
        <v>149</v>
      </c>
      <c r="AU287" s="304" t="s">
        <v>82</v>
      </c>
    </row>
    <row r="288" spans="1:65" s="13" customFormat="1">
      <c r="B288" s="149"/>
      <c r="D288" s="150" t="s">
        <v>145</v>
      </c>
      <c r="E288" s="151" t="s">
        <v>3</v>
      </c>
      <c r="F288" s="152" t="s">
        <v>146</v>
      </c>
      <c r="H288" s="151" t="s">
        <v>3</v>
      </c>
      <c r="L288" s="149"/>
      <c r="M288" s="153"/>
      <c r="N288" s="306"/>
      <c r="O288" s="306"/>
      <c r="P288" s="306"/>
      <c r="Q288" s="306"/>
      <c r="R288" s="306"/>
      <c r="S288" s="306"/>
      <c r="T288" s="155"/>
      <c r="AT288" s="151" t="s">
        <v>145</v>
      </c>
      <c r="AU288" s="151" t="s">
        <v>82</v>
      </c>
      <c r="AV288" s="13" t="s">
        <v>80</v>
      </c>
      <c r="AW288" s="13" t="s">
        <v>34</v>
      </c>
      <c r="AX288" s="13" t="s">
        <v>72</v>
      </c>
      <c r="AY288" s="151" t="s">
        <v>138</v>
      </c>
    </row>
    <row r="289" spans="1:65" s="13" customFormat="1">
      <c r="B289" s="149"/>
      <c r="D289" s="150" t="s">
        <v>145</v>
      </c>
      <c r="E289" s="151" t="s">
        <v>3</v>
      </c>
      <c r="F289" s="152" t="s">
        <v>156</v>
      </c>
      <c r="H289" s="151" t="s">
        <v>3</v>
      </c>
      <c r="L289" s="149"/>
      <c r="M289" s="153"/>
      <c r="N289" s="154"/>
      <c r="O289" s="154"/>
      <c r="P289" s="154"/>
      <c r="Q289" s="154"/>
      <c r="R289" s="154"/>
      <c r="S289" s="154"/>
      <c r="T289" s="155"/>
      <c r="AT289" s="151" t="s">
        <v>145</v>
      </c>
      <c r="AU289" s="151" t="s">
        <v>82</v>
      </c>
      <c r="AV289" s="13" t="s">
        <v>80</v>
      </c>
      <c r="AW289" s="13" t="s">
        <v>34</v>
      </c>
      <c r="AX289" s="13" t="s">
        <v>72</v>
      </c>
      <c r="AY289" s="151" t="s">
        <v>138</v>
      </c>
    </row>
    <row r="290" spans="1:65" s="14" customFormat="1">
      <c r="B290" s="156"/>
      <c r="D290" s="150" t="s">
        <v>145</v>
      </c>
      <c r="E290" s="157" t="s">
        <v>3</v>
      </c>
      <c r="F290" s="158" t="s">
        <v>1475</v>
      </c>
      <c r="H290" s="159">
        <f>1.98*0.7</f>
        <v>1.3859999999999999</v>
      </c>
      <c r="L290" s="156"/>
      <c r="M290" s="160"/>
      <c r="N290" s="161"/>
      <c r="O290" s="161"/>
      <c r="P290" s="161"/>
      <c r="Q290" s="161"/>
      <c r="R290" s="161"/>
      <c r="S290" s="161"/>
      <c r="T290" s="162"/>
      <c r="AT290" s="157" t="s">
        <v>145</v>
      </c>
      <c r="AU290" s="157" t="s">
        <v>82</v>
      </c>
      <c r="AV290" s="14" t="s">
        <v>82</v>
      </c>
      <c r="AW290" s="14" t="s">
        <v>34</v>
      </c>
      <c r="AX290" s="14" t="s">
        <v>72</v>
      </c>
      <c r="AY290" s="157" t="s">
        <v>138</v>
      </c>
    </row>
    <row r="291" spans="1:65" s="13" customFormat="1">
      <c r="B291" s="149"/>
      <c r="D291" s="150" t="s">
        <v>145</v>
      </c>
      <c r="E291" s="151" t="s">
        <v>3</v>
      </c>
      <c r="F291" s="152" t="s">
        <v>157</v>
      </c>
      <c r="H291" s="151" t="s">
        <v>3</v>
      </c>
      <c r="L291" s="149"/>
      <c r="M291" s="153"/>
      <c r="N291" s="306"/>
      <c r="O291" s="306"/>
      <c r="P291" s="306"/>
      <c r="Q291" s="306"/>
      <c r="R291" s="306"/>
      <c r="S291" s="306"/>
      <c r="T291" s="155"/>
      <c r="AT291" s="151" t="s">
        <v>145</v>
      </c>
      <c r="AU291" s="151" t="s">
        <v>82</v>
      </c>
      <c r="AV291" s="13" t="s">
        <v>80</v>
      </c>
      <c r="AW291" s="13" t="s">
        <v>34</v>
      </c>
      <c r="AX291" s="13" t="s">
        <v>72</v>
      </c>
      <c r="AY291" s="151" t="s">
        <v>138</v>
      </c>
    </row>
    <row r="292" spans="1:65" s="14" customFormat="1">
      <c r="B292" s="156"/>
      <c r="D292" s="150" t="s">
        <v>145</v>
      </c>
      <c r="E292" s="157" t="s">
        <v>3</v>
      </c>
      <c r="F292" s="158" t="s">
        <v>1479</v>
      </c>
      <c r="H292" s="159">
        <f>1.63*0.7</f>
        <v>1.1409999999999998</v>
      </c>
      <c r="L292" s="156"/>
      <c r="M292" s="160"/>
      <c r="N292" s="307"/>
      <c r="O292" s="307"/>
      <c r="P292" s="307"/>
      <c r="Q292" s="307"/>
      <c r="R292" s="307"/>
      <c r="S292" s="307"/>
      <c r="T292" s="162"/>
      <c r="AT292" s="157" t="s">
        <v>145</v>
      </c>
      <c r="AU292" s="157" t="s">
        <v>82</v>
      </c>
      <c r="AV292" s="14" t="s">
        <v>82</v>
      </c>
      <c r="AW292" s="14" t="s">
        <v>34</v>
      </c>
      <c r="AX292" s="14" t="s">
        <v>72</v>
      </c>
      <c r="AY292" s="157" t="s">
        <v>138</v>
      </c>
    </row>
    <row r="293" spans="1:65" s="14" customFormat="1">
      <c r="B293" s="156"/>
      <c r="D293" s="150" t="s">
        <v>145</v>
      </c>
      <c r="E293" s="157" t="s">
        <v>3</v>
      </c>
      <c r="F293" s="158" t="s">
        <v>1480</v>
      </c>
      <c r="H293" s="159">
        <f>(1.57+0.6+0.6)*0.4</f>
        <v>1.1080000000000001</v>
      </c>
      <c r="L293" s="156"/>
      <c r="M293" s="160"/>
      <c r="N293" s="307"/>
      <c r="O293" s="307"/>
      <c r="P293" s="307"/>
      <c r="Q293" s="307"/>
      <c r="R293" s="307"/>
      <c r="S293" s="307"/>
      <c r="T293" s="162"/>
      <c r="AT293" s="157" t="s">
        <v>145</v>
      </c>
      <c r="AU293" s="157" t="s">
        <v>82</v>
      </c>
      <c r="AV293" s="14" t="s">
        <v>82</v>
      </c>
      <c r="AW293" s="14" t="s">
        <v>34</v>
      </c>
      <c r="AX293" s="14" t="s">
        <v>72</v>
      </c>
      <c r="AY293" s="157" t="s">
        <v>138</v>
      </c>
    </row>
    <row r="294" spans="1:65" s="15" customFormat="1">
      <c r="B294" s="166"/>
      <c r="D294" s="150" t="s">
        <v>145</v>
      </c>
      <c r="E294" s="167" t="s">
        <v>3</v>
      </c>
      <c r="F294" s="168" t="s">
        <v>151</v>
      </c>
      <c r="H294" s="169">
        <f>H290+H292+H293</f>
        <v>3.6349999999999998</v>
      </c>
      <c r="L294" s="166"/>
      <c r="M294" s="170"/>
      <c r="N294" s="320"/>
      <c r="O294" s="320"/>
      <c r="P294" s="320"/>
      <c r="Q294" s="320"/>
      <c r="R294" s="320"/>
      <c r="S294" s="320"/>
      <c r="T294" s="172"/>
      <c r="AT294" s="167" t="s">
        <v>145</v>
      </c>
      <c r="AU294" s="167" t="s">
        <v>82</v>
      </c>
      <c r="AV294" s="15" t="s">
        <v>144</v>
      </c>
      <c r="AW294" s="15" t="s">
        <v>34</v>
      </c>
      <c r="AX294" s="15" t="s">
        <v>80</v>
      </c>
      <c r="AY294" s="167" t="s">
        <v>138</v>
      </c>
    </row>
    <row r="295" spans="1:65" s="2" customFormat="1" ht="37.9" customHeight="1">
      <c r="A295" s="31"/>
      <c r="B295" s="136"/>
      <c r="C295" s="173">
        <v>41</v>
      </c>
      <c r="D295" s="173" t="s">
        <v>164</v>
      </c>
      <c r="E295" s="174" t="s">
        <v>317</v>
      </c>
      <c r="F295" s="175" t="s">
        <v>1474</v>
      </c>
      <c r="G295" s="176" t="s">
        <v>173</v>
      </c>
      <c r="H295" s="177">
        <f>H297</f>
        <v>3.9984999999999999</v>
      </c>
      <c r="I295" s="178"/>
      <c r="J295" s="178">
        <f>ROUND(I295*H295,2)</f>
        <v>0</v>
      </c>
      <c r="K295" s="175" t="s">
        <v>143</v>
      </c>
      <c r="L295" s="179"/>
      <c r="M295" s="180" t="s">
        <v>3</v>
      </c>
      <c r="N295" s="181" t="s">
        <v>43</v>
      </c>
      <c r="O295" s="145">
        <v>0</v>
      </c>
      <c r="P295" s="145">
        <f>O295*H295</f>
        <v>0</v>
      </c>
      <c r="Q295" s="145">
        <v>0</v>
      </c>
      <c r="R295" s="145">
        <f>Q295*H295</f>
        <v>0</v>
      </c>
      <c r="S295" s="145">
        <v>0</v>
      </c>
      <c r="T295" s="146">
        <f>S295*H295</f>
        <v>0</v>
      </c>
      <c r="U295" s="31"/>
      <c r="V295" s="31"/>
      <c r="W295" s="31"/>
      <c r="X295" s="31"/>
      <c r="Y295" s="31"/>
      <c r="Z295" s="31"/>
      <c r="AA295" s="31"/>
      <c r="AB295" s="31"/>
      <c r="AC295" s="31"/>
      <c r="AD295" s="31"/>
      <c r="AE295" s="31"/>
      <c r="AR295" s="147" t="s">
        <v>224</v>
      </c>
      <c r="AT295" s="147" t="s">
        <v>164</v>
      </c>
      <c r="AU295" s="147" t="s">
        <v>82</v>
      </c>
      <c r="AY295" s="19" t="s">
        <v>138</v>
      </c>
      <c r="BE295" s="148">
        <f>IF(N295="základní",J295,0)</f>
        <v>0</v>
      </c>
      <c r="BF295" s="148">
        <f>IF(N295="snížená",J295,0)</f>
        <v>0</v>
      </c>
      <c r="BG295" s="148">
        <f>IF(N295="zákl. přenesená",J295,0)</f>
        <v>0</v>
      </c>
      <c r="BH295" s="148">
        <f>IF(N295="sníž. přenesená",J295,0)</f>
        <v>0</v>
      </c>
      <c r="BI295" s="148">
        <f>IF(N295="nulová",J295,0)</f>
        <v>0</v>
      </c>
      <c r="BJ295" s="19" t="s">
        <v>80</v>
      </c>
      <c r="BK295" s="148">
        <f>ROUND(I295*H295,2)</f>
        <v>0</v>
      </c>
      <c r="BL295" s="19" t="s">
        <v>200</v>
      </c>
      <c r="BM295" s="147" t="s">
        <v>318</v>
      </c>
    </row>
    <row r="296" spans="1:65" s="13" customFormat="1">
      <c r="B296" s="149"/>
      <c r="D296" s="150" t="s">
        <v>145</v>
      </c>
      <c r="E296" s="151" t="s">
        <v>3</v>
      </c>
      <c r="F296" s="152" t="s">
        <v>198</v>
      </c>
      <c r="H296" s="151" t="s">
        <v>3</v>
      </c>
      <c r="L296" s="149"/>
      <c r="M296" s="153"/>
      <c r="N296" s="154"/>
      <c r="O296" s="154"/>
      <c r="P296" s="154"/>
      <c r="Q296" s="154"/>
      <c r="R296" s="154"/>
      <c r="S296" s="154"/>
      <c r="T296" s="155"/>
      <c r="AT296" s="151" t="s">
        <v>145</v>
      </c>
      <c r="AU296" s="151" t="s">
        <v>82</v>
      </c>
      <c r="AV296" s="13" t="s">
        <v>80</v>
      </c>
      <c r="AW296" s="13" t="s">
        <v>34</v>
      </c>
      <c r="AX296" s="13" t="s">
        <v>72</v>
      </c>
      <c r="AY296" s="151" t="s">
        <v>138</v>
      </c>
    </row>
    <row r="297" spans="1:65" s="14" customFormat="1">
      <c r="B297" s="156"/>
      <c r="D297" s="150" t="s">
        <v>145</v>
      </c>
      <c r="F297" s="158" t="s">
        <v>1481</v>
      </c>
      <c r="H297" s="159">
        <f>H286*1.1</f>
        <v>3.9984999999999999</v>
      </c>
      <c r="L297" s="156"/>
      <c r="M297" s="160"/>
      <c r="N297" s="161"/>
      <c r="O297" s="161"/>
      <c r="P297" s="161"/>
      <c r="Q297" s="161"/>
      <c r="R297" s="161"/>
      <c r="S297" s="161"/>
      <c r="T297" s="162"/>
      <c r="AT297" s="157" t="s">
        <v>145</v>
      </c>
      <c r="AU297" s="157" t="s">
        <v>82</v>
      </c>
      <c r="AV297" s="14" t="s">
        <v>82</v>
      </c>
      <c r="AW297" s="14" t="s">
        <v>4</v>
      </c>
      <c r="AX297" s="14" t="s">
        <v>80</v>
      </c>
      <c r="AY297" s="157" t="s">
        <v>138</v>
      </c>
    </row>
    <row r="298" spans="1:65" s="2" customFormat="1" ht="37.9" customHeight="1">
      <c r="A298" s="31"/>
      <c r="B298" s="136"/>
      <c r="C298" s="137">
        <v>42</v>
      </c>
      <c r="D298" s="137" t="s">
        <v>141</v>
      </c>
      <c r="E298" s="138" t="s">
        <v>319</v>
      </c>
      <c r="F298" s="139" t="s">
        <v>320</v>
      </c>
      <c r="G298" s="140" t="s">
        <v>147</v>
      </c>
      <c r="H298" s="141">
        <f>H301+H305+H311+H321+H327+H333+H337+H315</f>
        <v>23</v>
      </c>
      <c r="I298" s="142"/>
      <c r="J298" s="142">
        <f>ROUND(I298*H298,2)</f>
        <v>0</v>
      </c>
      <c r="K298" s="139" t="s">
        <v>148</v>
      </c>
      <c r="L298" s="32"/>
      <c r="M298" s="143" t="s">
        <v>3</v>
      </c>
      <c r="N298" s="144" t="s">
        <v>43</v>
      </c>
      <c r="O298" s="145">
        <v>1.6819999999999999</v>
      </c>
      <c r="P298" s="145">
        <f>O298*H298</f>
        <v>38.686</v>
      </c>
      <c r="Q298" s="145">
        <v>0</v>
      </c>
      <c r="R298" s="145">
        <f>Q298*H298</f>
        <v>0</v>
      </c>
      <c r="S298" s="145">
        <v>0</v>
      </c>
      <c r="T298" s="146">
        <f>S298*H298</f>
        <v>0</v>
      </c>
      <c r="U298" s="31"/>
      <c r="V298" s="31"/>
      <c r="W298" s="31"/>
      <c r="X298" s="31"/>
      <c r="Y298" s="31"/>
      <c r="Z298" s="31"/>
      <c r="AA298" s="31"/>
      <c r="AB298" s="31"/>
      <c r="AC298" s="31"/>
      <c r="AD298" s="31"/>
      <c r="AE298" s="31"/>
      <c r="AR298" s="147" t="s">
        <v>200</v>
      </c>
      <c r="AT298" s="147" t="s">
        <v>141</v>
      </c>
      <c r="AU298" s="147" t="s">
        <v>82</v>
      </c>
      <c r="AY298" s="19" t="s">
        <v>138</v>
      </c>
      <c r="BE298" s="148">
        <f>IF(N298="základní",J298,0)</f>
        <v>0</v>
      </c>
      <c r="BF298" s="148">
        <f>IF(N298="snížená",J298,0)</f>
        <v>0</v>
      </c>
      <c r="BG298" s="148">
        <f>IF(N298="zákl. přenesená",J298,0)</f>
        <v>0</v>
      </c>
      <c r="BH298" s="148">
        <f>IF(N298="sníž. přenesená",J298,0)</f>
        <v>0</v>
      </c>
      <c r="BI298" s="148">
        <f>IF(N298="nulová",J298,0)</f>
        <v>0</v>
      </c>
      <c r="BJ298" s="19" t="s">
        <v>80</v>
      </c>
      <c r="BK298" s="148">
        <f>ROUND(I298*H298,2)</f>
        <v>0</v>
      </c>
      <c r="BL298" s="19" t="s">
        <v>200</v>
      </c>
      <c r="BM298" s="147" t="s">
        <v>321</v>
      </c>
    </row>
    <row r="299" spans="1:65" s="2" customFormat="1" ht="136.5">
      <c r="A299" s="31"/>
      <c r="B299" s="32"/>
      <c r="C299" s="31"/>
      <c r="D299" s="150" t="s">
        <v>149</v>
      </c>
      <c r="E299" s="31"/>
      <c r="F299" s="163" t="s">
        <v>322</v>
      </c>
      <c r="G299" s="31"/>
      <c r="H299" s="31"/>
      <c r="I299" s="31"/>
      <c r="J299" s="31"/>
      <c r="K299" s="31"/>
      <c r="L299" s="32"/>
      <c r="M299" s="164"/>
      <c r="N299" s="165"/>
      <c r="O299" s="52"/>
      <c r="P299" s="52"/>
      <c r="Q299" s="52"/>
      <c r="R299" s="52"/>
      <c r="S299" s="52"/>
      <c r="T299" s="53"/>
      <c r="U299" s="31"/>
      <c r="V299" s="31"/>
      <c r="W299" s="31"/>
      <c r="X299" s="31"/>
      <c r="Y299" s="31"/>
      <c r="Z299" s="31"/>
      <c r="AA299" s="31"/>
      <c r="AB299" s="31"/>
      <c r="AC299" s="31"/>
      <c r="AD299" s="31"/>
      <c r="AE299" s="31"/>
      <c r="AT299" s="19" t="s">
        <v>149</v>
      </c>
      <c r="AU299" s="19" t="s">
        <v>82</v>
      </c>
    </row>
    <row r="300" spans="1:65" s="2" customFormat="1" ht="29.25">
      <c r="A300" s="31"/>
      <c r="B300" s="32"/>
      <c r="C300" s="31"/>
      <c r="D300" s="150" t="s">
        <v>242</v>
      </c>
      <c r="E300" s="31"/>
      <c r="F300" s="163" t="s">
        <v>323</v>
      </c>
      <c r="G300" s="31"/>
      <c r="H300" s="31"/>
      <c r="I300" s="31"/>
      <c r="J300" s="31"/>
      <c r="K300" s="31"/>
      <c r="L300" s="32"/>
      <c r="M300" s="164"/>
      <c r="N300" s="165"/>
      <c r="O300" s="52"/>
      <c r="P300" s="52"/>
      <c r="Q300" s="52"/>
      <c r="R300" s="52"/>
      <c r="S300" s="52"/>
      <c r="T300" s="53"/>
      <c r="U300" s="31"/>
      <c r="V300" s="31"/>
      <c r="W300" s="31"/>
      <c r="X300" s="31"/>
      <c r="Y300" s="31"/>
      <c r="Z300" s="31"/>
      <c r="AA300" s="31"/>
      <c r="AB300" s="31"/>
      <c r="AC300" s="31"/>
      <c r="AD300" s="31"/>
      <c r="AE300" s="31"/>
      <c r="AT300" s="19" t="s">
        <v>242</v>
      </c>
      <c r="AU300" s="19" t="s">
        <v>82</v>
      </c>
    </row>
    <row r="301" spans="1:65" s="2" customFormat="1" ht="76.349999999999994" customHeight="1">
      <c r="A301" s="31"/>
      <c r="B301" s="136"/>
      <c r="C301" s="173">
        <v>43</v>
      </c>
      <c r="D301" s="173" t="s">
        <v>164</v>
      </c>
      <c r="E301" s="174" t="s">
        <v>1497</v>
      </c>
      <c r="F301" s="175" t="s">
        <v>324</v>
      </c>
      <c r="G301" s="176" t="s">
        <v>147</v>
      </c>
      <c r="H301" s="177">
        <f>H304</f>
        <v>1</v>
      </c>
      <c r="I301" s="281"/>
      <c r="J301" s="178">
        <f>ROUND(I301*H301,2)</f>
        <v>0</v>
      </c>
      <c r="K301" s="175" t="s">
        <v>143</v>
      </c>
      <c r="L301" s="179"/>
      <c r="M301" s="180" t="s">
        <v>3</v>
      </c>
      <c r="N301" s="181" t="s">
        <v>43</v>
      </c>
      <c r="O301" s="145">
        <v>0</v>
      </c>
      <c r="P301" s="145">
        <f>O301*H301</f>
        <v>0</v>
      </c>
      <c r="Q301" s="145">
        <v>0</v>
      </c>
      <c r="R301" s="145">
        <f>Q301*H301</f>
        <v>0</v>
      </c>
      <c r="S301" s="145">
        <v>0</v>
      </c>
      <c r="T301" s="146">
        <f>S301*H301</f>
        <v>0</v>
      </c>
      <c r="U301" s="31"/>
      <c r="V301" s="275"/>
      <c r="W301" s="275"/>
      <c r="X301" s="31"/>
      <c r="Y301" s="31"/>
      <c r="Z301" s="31"/>
      <c r="AA301" s="31"/>
      <c r="AB301" s="31"/>
      <c r="AC301" s="31"/>
      <c r="AD301" s="31"/>
      <c r="AE301" s="31"/>
      <c r="AR301" s="147" t="s">
        <v>224</v>
      </c>
      <c r="AT301" s="147" t="s">
        <v>164</v>
      </c>
      <c r="AU301" s="147" t="s">
        <v>82</v>
      </c>
      <c r="AY301" s="19" t="s">
        <v>138</v>
      </c>
      <c r="BE301" s="148">
        <f>IF(N301="základní",J301,0)</f>
        <v>0</v>
      </c>
      <c r="BF301" s="148">
        <f>IF(N301="snížená",J301,0)</f>
        <v>0</v>
      </c>
      <c r="BG301" s="148">
        <f>IF(N301="zákl. přenesená",J301,0)</f>
        <v>0</v>
      </c>
      <c r="BH301" s="148">
        <f>IF(N301="sníž. přenesená",J301,0)</f>
        <v>0</v>
      </c>
      <c r="BI301" s="148">
        <f>IF(N301="nulová",J301,0)</f>
        <v>0</v>
      </c>
      <c r="BJ301" s="19" t="s">
        <v>80</v>
      </c>
      <c r="BK301" s="148">
        <f>ROUND(I301*H301,2)</f>
        <v>0</v>
      </c>
      <c r="BL301" s="19" t="s">
        <v>200</v>
      </c>
      <c r="BM301" s="147" t="s">
        <v>325</v>
      </c>
    </row>
    <row r="302" spans="1:65" s="2" customFormat="1" ht="58.5">
      <c r="A302" s="31"/>
      <c r="B302" s="32"/>
      <c r="C302" s="31"/>
      <c r="D302" s="150" t="s">
        <v>242</v>
      </c>
      <c r="E302" s="31"/>
      <c r="F302" s="163" t="s">
        <v>326</v>
      </c>
      <c r="G302" s="31"/>
      <c r="H302" s="31"/>
      <c r="I302" s="279"/>
      <c r="J302" s="31"/>
      <c r="K302" s="31"/>
      <c r="L302" s="32"/>
      <c r="M302" s="164"/>
      <c r="N302" s="165"/>
      <c r="O302" s="52"/>
      <c r="P302" s="52"/>
      <c r="Q302" s="52"/>
      <c r="R302" s="52"/>
      <c r="S302" s="52"/>
      <c r="T302" s="53"/>
      <c r="U302" s="31"/>
      <c r="V302" s="31"/>
      <c r="W302" s="31"/>
      <c r="X302" s="31"/>
      <c r="Y302" s="31"/>
      <c r="Z302" s="31"/>
      <c r="AA302" s="31"/>
      <c r="AB302" s="31"/>
      <c r="AC302" s="31"/>
      <c r="AD302" s="31"/>
      <c r="AE302" s="31"/>
      <c r="AT302" s="19" t="s">
        <v>242</v>
      </c>
      <c r="AU302" s="19" t="s">
        <v>82</v>
      </c>
    </row>
    <row r="303" spans="1:65" s="13" customFormat="1">
      <c r="B303" s="149"/>
      <c r="D303" s="150" t="s">
        <v>145</v>
      </c>
      <c r="E303" s="151" t="s">
        <v>3</v>
      </c>
      <c r="F303" s="152" t="s">
        <v>1494</v>
      </c>
      <c r="H303" s="151" t="s">
        <v>3</v>
      </c>
      <c r="I303" s="282"/>
      <c r="L303" s="149"/>
      <c r="M303" s="153"/>
      <c r="N303" s="154"/>
      <c r="O303" s="154"/>
      <c r="P303" s="154"/>
      <c r="Q303" s="154"/>
      <c r="R303" s="154"/>
      <c r="S303" s="154"/>
      <c r="T303" s="155"/>
      <c r="AT303" s="151" t="s">
        <v>145</v>
      </c>
      <c r="AU303" s="151" t="s">
        <v>82</v>
      </c>
      <c r="AV303" s="13" t="s">
        <v>80</v>
      </c>
      <c r="AW303" s="13" t="s">
        <v>34</v>
      </c>
      <c r="AX303" s="13" t="s">
        <v>72</v>
      </c>
      <c r="AY303" s="151" t="s">
        <v>138</v>
      </c>
    </row>
    <row r="304" spans="1:65" s="14" customFormat="1">
      <c r="B304" s="156"/>
      <c r="D304" s="150" t="s">
        <v>145</v>
      </c>
      <c r="E304" s="157" t="s">
        <v>3</v>
      </c>
      <c r="F304" s="158">
        <v>1</v>
      </c>
      <c r="H304" s="159">
        <v>1</v>
      </c>
      <c r="I304" s="280"/>
      <c r="L304" s="156"/>
      <c r="M304" s="160"/>
      <c r="N304" s="161"/>
      <c r="O304" s="161"/>
      <c r="P304" s="161"/>
      <c r="Q304" s="161"/>
      <c r="R304" s="161"/>
      <c r="S304" s="161"/>
      <c r="T304" s="162"/>
      <c r="AT304" s="157" t="s">
        <v>145</v>
      </c>
      <c r="AU304" s="157" t="s">
        <v>82</v>
      </c>
      <c r="AV304" s="14" t="s">
        <v>82</v>
      </c>
      <c r="AW304" s="14" t="s">
        <v>34</v>
      </c>
      <c r="AX304" s="14" t="s">
        <v>80</v>
      </c>
      <c r="AY304" s="157" t="s">
        <v>138</v>
      </c>
    </row>
    <row r="305" spans="1:65" s="2" customFormat="1" ht="76.349999999999994" customHeight="1">
      <c r="A305" s="31"/>
      <c r="B305" s="136"/>
      <c r="C305" s="173">
        <v>44</v>
      </c>
      <c r="D305" s="173" t="s">
        <v>164</v>
      </c>
      <c r="E305" s="174" t="s">
        <v>1498</v>
      </c>
      <c r="F305" s="175" t="s">
        <v>327</v>
      </c>
      <c r="G305" s="176" t="s">
        <v>147</v>
      </c>
      <c r="H305" s="177">
        <f>H308+H310</f>
        <v>7</v>
      </c>
      <c r="I305" s="281"/>
      <c r="J305" s="178">
        <f>ROUND(I305*H305,2)</f>
        <v>0</v>
      </c>
      <c r="K305" s="175" t="s">
        <v>143</v>
      </c>
      <c r="L305" s="179"/>
      <c r="M305" s="180" t="s">
        <v>3</v>
      </c>
      <c r="N305" s="181" t="s">
        <v>43</v>
      </c>
      <c r="O305" s="145">
        <v>0</v>
      </c>
      <c r="P305" s="145">
        <f>O305*H305</f>
        <v>0</v>
      </c>
      <c r="Q305" s="145">
        <v>0</v>
      </c>
      <c r="R305" s="145">
        <f>Q305*H305</f>
        <v>0</v>
      </c>
      <c r="S305" s="145">
        <v>0</v>
      </c>
      <c r="T305" s="146">
        <f>S305*H305</f>
        <v>0</v>
      </c>
      <c r="U305" s="31"/>
      <c r="V305" s="275"/>
      <c r="W305" s="275"/>
      <c r="X305" s="31"/>
      <c r="Y305" s="31"/>
      <c r="Z305" s="31"/>
      <c r="AA305" s="31"/>
      <c r="AB305" s="31"/>
      <c r="AC305" s="31"/>
      <c r="AD305" s="31"/>
      <c r="AE305" s="31"/>
      <c r="AR305" s="147" t="s">
        <v>224</v>
      </c>
      <c r="AT305" s="147" t="s">
        <v>164</v>
      </c>
      <c r="AU305" s="147" t="s">
        <v>82</v>
      </c>
      <c r="AY305" s="19" t="s">
        <v>138</v>
      </c>
      <c r="BE305" s="148">
        <f>IF(N305="základní",J305,0)</f>
        <v>0</v>
      </c>
      <c r="BF305" s="148">
        <f>IF(N305="snížená",J305,0)</f>
        <v>0</v>
      </c>
      <c r="BG305" s="148">
        <f>IF(N305="zákl. přenesená",J305,0)</f>
        <v>0</v>
      </c>
      <c r="BH305" s="148">
        <f>IF(N305="sníž. přenesená",J305,0)</f>
        <v>0</v>
      </c>
      <c r="BI305" s="148">
        <f>IF(N305="nulová",J305,0)</f>
        <v>0</v>
      </c>
      <c r="BJ305" s="19" t="s">
        <v>80</v>
      </c>
      <c r="BK305" s="148">
        <f>ROUND(I305*H305,2)</f>
        <v>0</v>
      </c>
      <c r="BL305" s="19" t="s">
        <v>200</v>
      </c>
      <c r="BM305" s="147" t="s">
        <v>328</v>
      </c>
    </row>
    <row r="306" spans="1:65" s="2" customFormat="1" ht="58.5">
      <c r="A306" s="31"/>
      <c r="B306" s="32"/>
      <c r="C306" s="31"/>
      <c r="D306" s="150" t="s">
        <v>242</v>
      </c>
      <c r="E306" s="31"/>
      <c r="F306" s="163" t="s">
        <v>326</v>
      </c>
      <c r="G306" s="31"/>
      <c r="H306" s="31"/>
      <c r="I306" s="279"/>
      <c r="J306" s="31"/>
      <c r="K306" s="31"/>
      <c r="L306" s="32"/>
      <c r="M306" s="164"/>
      <c r="N306" s="165"/>
      <c r="O306" s="52"/>
      <c r="P306" s="52"/>
      <c r="Q306" s="52"/>
      <c r="R306" s="52"/>
      <c r="S306" s="52"/>
      <c r="T306" s="53"/>
      <c r="U306" s="31"/>
      <c r="V306" s="31"/>
      <c r="W306" s="31"/>
      <c r="X306" s="31"/>
      <c r="Y306" s="31"/>
      <c r="Z306" s="31"/>
      <c r="AA306" s="31"/>
      <c r="AB306" s="31"/>
      <c r="AC306" s="31"/>
      <c r="AD306" s="31"/>
      <c r="AE306" s="31"/>
      <c r="AT306" s="19" t="s">
        <v>242</v>
      </c>
      <c r="AU306" s="19" t="s">
        <v>82</v>
      </c>
    </row>
    <row r="307" spans="1:65" s="13" customFormat="1">
      <c r="B307" s="149"/>
      <c r="D307" s="150" t="s">
        <v>145</v>
      </c>
      <c r="E307" s="151" t="s">
        <v>3</v>
      </c>
      <c r="F307" s="152" t="s">
        <v>1492</v>
      </c>
      <c r="H307" s="151" t="s">
        <v>3</v>
      </c>
      <c r="I307" s="282"/>
      <c r="L307" s="149"/>
      <c r="M307" s="153"/>
      <c r="N307" s="154"/>
      <c r="O307" s="154"/>
      <c r="P307" s="154"/>
      <c r="Q307" s="154"/>
      <c r="R307" s="154"/>
      <c r="S307" s="154"/>
      <c r="T307" s="155"/>
      <c r="AT307" s="151" t="s">
        <v>145</v>
      </c>
      <c r="AU307" s="151" t="s">
        <v>82</v>
      </c>
      <c r="AV307" s="13" t="s">
        <v>80</v>
      </c>
      <c r="AW307" s="13" t="s">
        <v>34</v>
      </c>
      <c r="AX307" s="13" t="s">
        <v>72</v>
      </c>
      <c r="AY307" s="151" t="s">
        <v>138</v>
      </c>
    </row>
    <row r="308" spans="1:65" s="14" customFormat="1">
      <c r="B308" s="156"/>
      <c r="D308" s="150" t="s">
        <v>145</v>
      </c>
      <c r="E308" s="157" t="s">
        <v>3</v>
      </c>
      <c r="F308" s="158">
        <v>4</v>
      </c>
      <c r="H308" s="159">
        <v>4</v>
      </c>
      <c r="I308" s="280"/>
      <c r="L308" s="156"/>
      <c r="M308" s="160"/>
      <c r="N308" s="161"/>
      <c r="O308" s="161"/>
      <c r="P308" s="161"/>
      <c r="Q308" s="161"/>
      <c r="R308" s="161"/>
      <c r="S308" s="161"/>
      <c r="T308" s="162"/>
      <c r="AT308" s="157" t="s">
        <v>145</v>
      </c>
      <c r="AU308" s="157" t="s">
        <v>82</v>
      </c>
      <c r="AV308" s="14" t="s">
        <v>82</v>
      </c>
      <c r="AW308" s="14" t="s">
        <v>34</v>
      </c>
      <c r="AX308" s="14" t="s">
        <v>80</v>
      </c>
      <c r="AY308" s="157" t="s">
        <v>138</v>
      </c>
    </row>
    <row r="309" spans="1:65" s="13" customFormat="1">
      <c r="B309" s="149"/>
      <c r="D309" s="150" t="s">
        <v>145</v>
      </c>
      <c r="E309" s="151" t="s">
        <v>3</v>
      </c>
      <c r="F309" s="152" t="s">
        <v>1493</v>
      </c>
      <c r="H309" s="151" t="s">
        <v>3</v>
      </c>
      <c r="I309" s="282"/>
      <c r="L309" s="149"/>
      <c r="M309" s="153"/>
      <c r="N309" s="154"/>
      <c r="O309" s="154"/>
      <c r="P309" s="154"/>
      <c r="Q309" s="154"/>
      <c r="R309" s="154"/>
      <c r="S309" s="154"/>
      <c r="T309" s="155"/>
      <c r="AT309" s="151" t="s">
        <v>145</v>
      </c>
      <c r="AU309" s="151" t="s">
        <v>82</v>
      </c>
      <c r="AV309" s="13" t="s">
        <v>80</v>
      </c>
      <c r="AW309" s="13" t="s">
        <v>34</v>
      </c>
      <c r="AX309" s="13" t="s">
        <v>72</v>
      </c>
      <c r="AY309" s="151" t="s">
        <v>138</v>
      </c>
    </row>
    <row r="310" spans="1:65" s="14" customFormat="1">
      <c r="B310" s="156"/>
      <c r="D310" s="150" t="s">
        <v>145</v>
      </c>
      <c r="E310" s="157" t="s">
        <v>3</v>
      </c>
      <c r="F310" s="158">
        <v>3</v>
      </c>
      <c r="H310" s="159">
        <v>3</v>
      </c>
      <c r="I310" s="280"/>
      <c r="L310" s="156"/>
      <c r="M310" s="160"/>
      <c r="N310" s="161"/>
      <c r="O310" s="161"/>
      <c r="P310" s="161"/>
      <c r="Q310" s="161"/>
      <c r="R310" s="161"/>
      <c r="S310" s="161"/>
      <c r="T310" s="162"/>
      <c r="AT310" s="157" t="s">
        <v>145</v>
      </c>
      <c r="AU310" s="157" t="s">
        <v>82</v>
      </c>
      <c r="AV310" s="14" t="s">
        <v>82</v>
      </c>
      <c r="AW310" s="14" t="s">
        <v>34</v>
      </c>
      <c r="AX310" s="14" t="s">
        <v>80</v>
      </c>
      <c r="AY310" s="157" t="s">
        <v>138</v>
      </c>
    </row>
    <row r="311" spans="1:65" s="2" customFormat="1" ht="62.65" customHeight="1">
      <c r="A311" s="31"/>
      <c r="B311" s="136"/>
      <c r="C311" s="173">
        <v>45</v>
      </c>
      <c r="D311" s="173" t="s">
        <v>164</v>
      </c>
      <c r="E311" s="174" t="s">
        <v>1497</v>
      </c>
      <c r="F311" s="175" t="s">
        <v>331</v>
      </c>
      <c r="G311" s="176" t="s">
        <v>147</v>
      </c>
      <c r="H311" s="177">
        <f>H314</f>
        <v>1</v>
      </c>
      <c r="I311" s="281"/>
      <c r="J311" s="178">
        <f>ROUND(I311*H311,2)</f>
        <v>0</v>
      </c>
      <c r="K311" s="175" t="s">
        <v>143</v>
      </c>
      <c r="L311" s="179"/>
      <c r="M311" s="180" t="s">
        <v>3</v>
      </c>
      <c r="N311" s="181" t="s">
        <v>43</v>
      </c>
      <c r="O311" s="145">
        <v>0</v>
      </c>
      <c r="P311" s="145">
        <f>O311*H311</f>
        <v>0</v>
      </c>
      <c r="Q311" s="145">
        <v>0</v>
      </c>
      <c r="R311" s="145">
        <f>Q311*H311</f>
        <v>0</v>
      </c>
      <c r="S311" s="145">
        <v>0</v>
      </c>
      <c r="T311" s="146">
        <f>S311*H311</f>
        <v>0</v>
      </c>
      <c r="U311" s="31"/>
      <c r="V311" s="31"/>
      <c r="W311" s="31"/>
      <c r="X311" s="31"/>
      <c r="Y311" s="31"/>
      <c r="Z311" s="31"/>
      <c r="AA311" s="31"/>
      <c r="AB311" s="31"/>
      <c r="AC311" s="31"/>
      <c r="AD311" s="31"/>
      <c r="AE311" s="31"/>
      <c r="AR311" s="147" t="s">
        <v>224</v>
      </c>
      <c r="AT311" s="147" t="s">
        <v>164</v>
      </c>
      <c r="AU311" s="147" t="s">
        <v>82</v>
      </c>
      <c r="AY311" s="19" t="s">
        <v>138</v>
      </c>
      <c r="BE311" s="148">
        <f>IF(N311="základní",J311,0)</f>
        <v>0</v>
      </c>
      <c r="BF311" s="148">
        <f>IF(N311="snížená",J311,0)</f>
        <v>0</v>
      </c>
      <c r="BG311" s="148">
        <f>IF(N311="zákl. přenesená",J311,0)</f>
        <v>0</v>
      </c>
      <c r="BH311" s="148">
        <f>IF(N311="sníž. přenesená",J311,0)</f>
        <v>0</v>
      </c>
      <c r="BI311" s="148">
        <f>IF(N311="nulová",J311,0)</f>
        <v>0</v>
      </c>
      <c r="BJ311" s="19" t="s">
        <v>80</v>
      </c>
      <c r="BK311" s="148">
        <f>ROUND(I311*H311,2)</f>
        <v>0</v>
      </c>
      <c r="BL311" s="19" t="s">
        <v>200</v>
      </c>
      <c r="BM311" s="147" t="s">
        <v>332</v>
      </c>
    </row>
    <row r="312" spans="1:65" s="2" customFormat="1" ht="58.5">
      <c r="A312" s="31"/>
      <c r="B312" s="32"/>
      <c r="C312" s="31"/>
      <c r="D312" s="150" t="s">
        <v>242</v>
      </c>
      <c r="E312" s="31"/>
      <c r="F312" s="163" t="s">
        <v>330</v>
      </c>
      <c r="G312" s="31"/>
      <c r="H312" s="31"/>
      <c r="I312" s="279"/>
      <c r="J312" s="31"/>
      <c r="K312" s="31"/>
      <c r="L312" s="32"/>
      <c r="M312" s="164"/>
      <c r="N312" s="165"/>
      <c r="O312" s="52"/>
      <c r="P312" s="52"/>
      <c r="Q312" s="52"/>
      <c r="R312" s="52"/>
      <c r="S312" s="52"/>
      <c r="T312" s="53"/>
      <c r="U312" s="31"/>
      <c r="V312" s="31"/>
      <c r="W312" s="31"/>
      <c r="X312" s="31"/>
      <c r="Y312" s="31"/>
      <c r="Z312" s="31"/>
      <c r="AA312" s="31"/>
      <c r="AB312" s="31"/>
      <c r="AC312" s="31"/>
      <c r="AD312" s="31"/>
      <c r="AE312" s="31"/>
      <c r="AT312" s="19" t="s">
        <v>242</v>
      </c>
      <c r="AU312" s="19" t="s">
        <v>82</v>
      </c>
    </row>
    <row r="313" spans="1:65" s="13" customFormat="1">
      <c r="B313" s="149"/>
      <c r="D313" s="150" t="s">
        <v>145</v>
      </c>
      <c r="E313" s="151" t="s">
        <v>3</v>
      </c>
      <c r="F313" s="152" t="s">
        <v>1491</v>
      </c>
      <c r="H313" s="151" t="s">
        <v>3</v>
      </c>
      <c r="I313" s="282"/>
      <c r="L313" s="149"/>
      <c r="M313" s="153"/>
      <c r="N313" s="154"/>
      <c r="O313" s="154"/>
      <c r="P313" s="154"/>
      <c r="Q313" s="154"/>
      <c r="R313" s="154"/>
      <c r="S313" s="154"/>
      <c r="T313" s="155"/>
      <c r="AT313" s="151" t="s">
        <v>145</v>
      </c>
      <c r="AU313" s="151" t="s">
        <v>82</v>
      </c>
      <c r="AV313" s="13" t="s">
        <v>80</v>
      </c>
      <c r="AW313" s="13" t="s">
        <v>34</v>
      </c>
      <c r="AX313" s="13" t="s">
        <v>72</v>
      </c>
      <c r="AY313" s="151" t="s">
        <v>138</v>
      </c>
    </row>
    <row r="314" spans="1:65" s="14" customFormat="1">
      <c r="B314" s="156"/>
      <c r="D314" s="150" t="s">
        <v>145</v>
      </c>
      <c r="E314" s="157" t="s">
        <v>3</v>
      </c>
      <c r="F314" s="158">
        <v>1</v>
      </c>
      <c r="H314" s="159">
        <v>1</v>
      </c>
      <c r="I314" s="280"/>
      <c r="L314" s="156"/>
      <c r="M314" s="160"/>
      <c r="N314" s="161"/>
      <c r="O314" s="161"/>
      <c r="P314" s="161"/>
      <c r="Q314" s="161"/>
      <c r="R314" s="161"/>
      <c r="S314" s="161"/>
      <c r="T314" s="162"/>
      <c r="AT314" s="157" t="s">
        <v>145</v>
      </c>
      <c r="AU314" s="157" t="s">
        <v>82</v>
      </c>
      <c r="AV314" s="14" t="s">
        <v>82</v>
      </c>
      <c r="AW314" s="14" t="s">
        <v>34</v>
      </c>
      <c r="AX314" s="14" t="s">
        <v>80</v>
      </c>
      <c r="AY314" s="157" t="s">
        <v>138</v>
      </c>
    </row>
    <row r="315" spans="1:65" s="2" customFormat="1" ht="62.65" customHeight="1">
      <c r="A315" s="309"/>
      <c r="B315" s="136"/>
      <c r="C315" s="173">
        <v>46</v>
      </c>
      <c r="D315" s="173" t="s">
        <v>164</v>
      </c>
      <c r="E315" s="174" t="s">
        <v>1497</v>
      </c>
      <c r="F315" s="175" t="s">
        <v>329</v>
      </c>
      <c r="G315" s="176" t="s">
        <v>147</v>
      </c>
      <c r="H315" s="177">
        <f>H318+H320</f>
        <v>2</v>
      </c>
      <c r="I315" s="281"/>
      <c r="J315" s="178">
        <f>ROUND(I315*H315,2)</f>
        <v>0</v>
      </c>
      <c r="K315" s="175" t="s">
        <v>143</v>
      </c>
      <c r="L315" s="179"/>
      <c r="M315" s="180" t="s">
        <v>3</v>
      </c>
      <c r="N315" s="181" t="s">
        <v>43</v>
      </c>
      <c r="O315" s="145">
        <v>0</v>
      </c>
      <c r="P315" s="145">
        <f>O315*H315</f>
        <v>0</v>
      </c>
      <c r="Q315" s="145">
        <v>0</v>
      </c>
      <c r="R315" s="145">
        <f>Q315*H315</f>
        <v>0</v>
      </c>
      <c r="S315" s="145">
        <v>0</v>
      </c>
      <c r="T315" s="146">
        <f>S315*H315</f>
        <v>0</v>
      </c>
      <c r="U315" s="309"/>
      <c r="V315" s="309"/>
      <c r="W315" s="309"/>
      <c r="X315" s="309"/>
      <c r="Y315" s="309"/>
      <c r="Z315" s="309"/>
      <c r="AA315" s="309"/>
      <c r="AB315" s="309"/>
      <c r="AC315" s="309"/>
      <c r="AD315" s="309"/>
      <c r="AE315" s="309"/>
      <c r="AR315" s="147" t="s">
        <v>224</v>
      </c>
      <c r="AT315" s="147" t="s">
        <v>164</v>
      </c>
      <c r="AU315" s="147" t="s">
        <v>82</v>
      </c>
      <c r="AY315" s="19" t="s">
        <v>138</v>
      </c>
      <c r="BE315" s="148">
        <f>IF(N315="základní",J315,0)</f>
        <v>0</v>
      </c>
      <c r="BF315" s="148">
        <f>IF(N315="snížená",J315,0)</f>
        <v>0</v>
      </c>
      <c r="BG315" s="148">
        <f>IF(N315="zákl. přenesená",J315,0)</f>
        <v>0</v>
      </c>
      <c r="BH315" s="148">
        <f>IF(N315="sníž. přenesená",J315,0)</f>
        <v>0</v>
      </c>
      <c r="BI315" s="148">
        <f>IF(N315="nulová",J315,0)</f>
        <v>0</v>
      </c>
      <c r="BJ315" s="19" t="s">
        <v>80</v>
      </c>
      <c r="BK315" s="148">
        <f>ROUND(I315*H315,2)</f>
        <v>0</v>
      </c>
      <c r="BL315" s="19" t="s">
        <v>200</v>
      </c>
      <c r="BM315" s="147" t="s">
        <v>332</v>
      </c>
    </row>
    <row r="316" spans="1:65" s="2" customFormat="1" ht="58.5">
      <c r="A316" s="309"/>
      <c r="B316" s="32"/>
      <c r="C316" s="309"/>
      <c r="D316" s="150" t="s">
        <v>242</v>
      </c>
      <c r="E316" s="309"/>
      <c r="F316" s="163" t="s">
        <v>330</v>
      </c>
      <c r="G316" s="309"/>
      <c r="H316" s="309"/>
      <c r="I316" s="279"/>
      <c r="J316" s="309"/>
      <c r="K316" s="309"/>
      <c r="L316" s="32"/>
      <c r="M316" s="164"/>
      <c r="N316" s="165"/>
      <c r="O316" s="52"/>
      <c r="P316" s="52"/>
      <c r="Q316" s="52"/>
      <c r="R316" s="52"/>
      <c r="S316" s="52"/>
      <c r="T316" s="53"/>
      <c r="U316" s="309"/>
      <c r="V316" s="309"/>
      <c r="W316" s="309"/>
      <c r="X316" s="309"/>
      <c r="Y316" s="309"/>
      <c r="Z316" s="309"/>
      <c r="AA316" s="309"/>
      <c r="AB316" s="309"/>
      <c r="AC316" s="309"/>
      <c r="AD316" s="309"/>
      <c r="AE316" s="309"/>
      <c r="AT316" s="19" t="s">
        <v>242</v>
      </c>
      <c r="AU316" s="19" t="s">
        <v>82</v>
      </c>
    </row>
    <row r="317" spans="1:65" s="13" customFormat="1">
      <c r="B317" s="149"/>
      <c r="D317" s="150" t="s">
        <v>145</v>
      </c>
      <c r="E317" s="151" t="s">
        <v>3</v>
      </c>
      <c r="F317" s="152" t="s">
        <v>1496</v>
      </c>
      <c r="H317" s="151" t="s">
        <v>3</v>
      </c>
      <c r="I317" s="282"/>
      <c r="L317" s="149"/>
      <c r="M317" s="153"/>
      <c r="N317" s="154"/>
      <c r="O317" s="154"/>
      <c r="P317" s="154"/>
      <c r="Q317" s="154"/>
      <c r="R317" s="154"/>
      <c r="S317" s="154"/>
      <c r="T317" s="155"/>
      <c r="AT317" s="151" t="s">
        <v>145</v>
      </c>
      <c r="AU317" s="151" t="s">
        <v>82</v>
      </c>
      <c r="AV317" s="13" t="s">
        <v>80</v>
      </c>
      <c r="AW317" s="13" t="s">
        <v>34</v>
      </c>
      <c r="AX317" s="13" t="s">
        <v>72</v>
      </c>
      <c r="AY317" s="151" t="s">
        <v>138</v>
      </c>
    </row>
    <row r="318" spans="1:65" s="14" customFormat="1">
      <c r="B318" s="156"/>
      <c r="D318" s="150" t="s">
        <v>145</v>
      </c>
      <c r="E318" s="157" t="s">
        <v>3</v>
      </c>
      <c r="F318" s="158">
        <v>1</v>
      </c>
      <c r="H318" s="159">
        <v>1</v>
      </c>
      <c r="I318" s="280"/>
      <c r="L318" s="156"/>
      <c r="M318" s="160"/>
      <c r="N318" s="161"/>
      <c r="O318" s="161"/>
      <c r="P318" s="161"/>
      <c r="Q318" s="161"/>
      <c r="R318" s="161"/>
      <c r="S318" s="161"/>
      <c r="T318" s="162"/>
      <c r="AT318" s="157" t="s">
        <v>145</v>
      </c>
      <c r="AU318" s="157" t="s">
        <v>82</v>
      </c>
      <c r="AV318" s="14" t="s">
        <v>82</v>
      </c>
      <c r="AW318" s="14" t="s">
        <v>34</v>
      </c>
      <c r="AX318" s="14" t="s">
        <v>80</v>
      </c>
      <c r="AY318" s="157" t="s">
        <v>138</v>
      </c>
    </row>
    <row r="319" spans="1:65" s="13" customFormat="1">
      <c r="B319" s="149"/>
      <c r="D319" s="150" t="s">
        <v>145</v>
      </c>
      <c r="E319" s="151" t="s">
        <v>3</v>
      </c>
      <c r="F319" s="152" t="s">
        <v>1495</v>
      </c>
      <c r="H319" s="151" t="s">
        <v>3</v>
      </c>
      <c r="I319" s="282"/>
      <c r="L319" s="149"/>
      <c r="M319" s="153"/>
      <c r="N319" s="154"/>
      <c r="O319" s="154"/>
      <c r="P319" s="154"/>
      <c r="Q319" s="154"/>
      <c r="R319" s="154"/>
      <c r="S319" s="154"/>
      <c r="T319" s="155"/>
      <c r="AT319" s="151" t="s">
        <v>145</v>
      </c>
      <c r="AU319" s="151" t="s">
        <v>82</v>
      </c>
      <c r="AV319" s="13" t="s">
        <v>80</v>
      </c>
      <c r="AW319" s="13" t="s">
        <v>34</v>
      </c>
      <c r="AX319" s="13" t="s">
        <v>72</v>
      </c>
      <c r="AY319" s="151" t="s">
        <v>138</v>
      </c>
    </row>
    <row r="320" spans="1:65" s="14" customFormat="1">
      <c r="B320" s="156"/>
      <c r="D320" s="150" t="s">
        <v>145</v>
      </c>
      <c r="E320" s="157" t="s">
        <v>3</v>
      </c>
      <c r="F320" s="158">
        <v>1</v>
      </c>
      <c r="H320" s="159">
        <v>1</v>
      </c>
      <c r="I320" s="280"/>
      <c r="L320" s="156"/>
      <c r="M320" s="160"/>
      <c r="N320" s="161"/>
      <c r="O320" s="161"/>
      <c r="P320" s="161"/>
      <c r="Q320" s="161"/>
      <c r="R320" s="161"/>
      <c r="S320" s="161"/>
      <c r="T320" s="162"/>
      <c r="AT320" s="157" t="s">
        <v>145</v>
      </c>
      <c r="AU320" s="157" t="s">
        <v>82</v>
      </c>
      <c r="AV320" s="14" t="s">
        <v>82</v>
      </c>
      <c r="AW320" s="14" t="s">
        <v>34</v>
      </c>
      <c r="AX320" s="14" t="s">
        <v>80</v>
      </c>
      <c r="AY320" s="157" t="s">
        <v>138</v>
      </c>
    </row>
    <row r="321" spans="1:65" s="2" customFormat="1" ht="62.65" customHeight="1">
      <c r="A321" s="31"/>
      <c r="B321" s="136"/>
      <c r="C321" s="173">
        <v>47</v>
      </c>
      <c r="D321" s="173" t="s">
        <v>164</v>
      </c>
      <c r="E321" s="174" t="s">
        <v>1497</v>
      </c>
      <c r="F321" s="175" t="s">
        <v>333</v>
      </c>
      <c r="G321" s="176" t="s">
        <v>147</v>
      </c>
      <c r="H321" s="177">
        <f>H324+H326</f>
        <v>3</v>
      </c>
      <c r="I321" s="281"/>
      <c r="J321" s="178">
        <f>ROUND(I321*H321,2)</f>
        <v>0</v>
      </c>
      <c r="K321" s="175" t="s">
        <v>143</v>
      </c>
      <c r="L321" s="179"/>
      <c r="M321" s="180" t="s">
        <v>3</v>
      </c>
      <c r="N321" s="181" t="s">
        <v>43</v>
      </c>
      <c r="O321" s="145">
        <v>0</v>
      </c>
      <c r="P321" s="145">
        <f>O321*H321</f>
        <v>0</v>
      </c>
      <c r="Q321" s="145">
        <v>0</v>
      </c>
      <c r="R321" s="145">
        <f>Q321*H321</f>
        <v>0</v>
      </c>
      <c r="S321" s="145">
        <v>0</v>
      </c>
      <c r="T321" s="146">
        <f>S321*H321</f>
        <v>0</v>
      </c>
      <c r="U321" s="31"/>
      <c r="V321" s="275"/>
      <c r="W321" s="275"/>
      <c r="X321" s="31"/>
      <c r="Y321" s="31"/>
      <c r="Z321" s="31"/>
      <c r="AA321" s="31"/>
      <c r="AB321" s="31"/>
      <c r="AC321" s="31"/>
      <c r="AD321" s="31"/>
      <c r="AE321" s="31"/>
      <c r="AR321" s="147" t="s">
        <v>224</v>
      </c>
      <c r="AT321" s="147" t="s">
        <v>164</v>
      </c>
      <c r="AU321" s="147" t="s">
        <v>82</v>
      </c>
      <c r="AY321" s="19" t="s">
        <v>138</v>
      </c>
      <c r="BE321" s="148">
        <f>IF(N321="základní",J321,0)</f>
        <v>0</v>
      </c>
      <c r="BF321" s="148">
        <f>IF(N321="snížená",J321,0)</f>
        <v>0</v>
      </c>
      <c r="BG321" s="148">
        <f>IF(N321="zákl. přenesená",J321,0)</f>
        <v>0</v>
      </c>
      <c r="BH321" s="148">
        <f>IF(N321="sníž. přenesená",J321,0)</f>
        <v>0</v>
      </c>
      <c r="BI321" s="148">
        <f>IF(N321="nulová",J321,0)</f>
        <v>0</v>
      </c>
      <c r="BJ321" s="19" t="s">
        <v>80</v>
      </c>
      <c r="BK321" s="148">
        <f>ROUND(I321*H321,2)</f>
        <v>0</v>
      </c>
      <c r="BL321" s="19" t="s">
        <v>200</v>
      </c>
      <c r="BM321" s="147" t="s">
        <v>334</v>
      </c>
    </row>
    <row r="322" spans="1:65" s="2" customFormat="1" ht="58.5">
      <c r="A322" s="31"/>
      <c r="B322" s="32"/>
      <c r="C322" s="31"/>
      <c r="D322" s="150" t="s">
        <v>242</v>
      </c>
      <c r="E322" s="31"/>
      <c r="F322" s="163" t="s">
        <v>335</v>
      </c>
      <c r="G322" s="31"/>
      <c r="H322" s="31"/>
      <c r="I322" s="279"/>
      <c r="J322" s="31"/>
      <c r="K322" s="31"/>
      <c r="L322" s="32"/>
      <c r="M322" s="164"/>
      <c r="N322" s="165"/>
      <c r="O322" s="52"/>
      <c r="P322" s="52"/>
      <c r="Q322" s="52"/>
      <c r="R322" s="52"/>
      <c r="S322" s="52"/>
      <c r="T322" s="53"/>
      <c r="U322" s="31"/>
      <c r="V322" s="31"/>
      <c r="W322" s="31"/>
      <c r="X322" s="31"/>
      <c r="Y322" s="31"/>
      <c r="Z322" s="31"/>
      <c r="AA322" s="31"/>
      <c r="AB322" s="31"/>
      <c r="AC322" s="31"/>
      <c r="AD322" s="31"/>
      <c r="AE322" s="31"/>
      <c r="AT322" s="19" t="s">
        <v>242</v>
      </c>
      <c r="AU322" s="19" t="s">
        <v>82</v>
      </c>
    </row>
    <row r="323" spans="1:65" s="13" customFormat="1">
      <c r="B323" s="149"/>
      <c r="D323" s="150" t="s">
        <v>145</v>
      </c>
      <c r="E323" s="151" t="s">
        <v>3</v>
      </c>
      <c r="F323" s="152" t="s">
        <v>1489</v>
      </c>
      <c r="H323" s="151" t="s">
        <v>3</v>
      </c>
      <c r="I323" s="282"/>
      <c r="L323" s="149"/>
      <c r="M323" s="153"/>
      <c r="N323" s="154"/>
      <c r="O323" s="154"/>
      <c r="P323" s="154"/>
      <c r="Q323" s="154"/>
      <c r="R323" s="154"/>
      <c r="S323" s="154"/>
      <c r="T323" s="155"/>
      <c r="AT323" s="151" t="s">
        <v>145</v>
      </c>
      <c r="AU323" s="151" t="s">
        <v>82</v>
      </c>
      <c r="AV323" s="13" t="s">
        <v>80</v>
      </c>
      <c r="AW323" s="13" t="s">
        <v>34</v>
      </c>
      <c r="AX323" s="13" t="s">
        <v>72</v>
      </c>
      <c r="AY323" s="151" t="s">
        <v>138</v>
      </c>
    </row>
    <row r="324" spans="1:65" s="14" customFormat="1">
      <c r="B324" s="156"/>
      <c r="D324" s="150" t="s">
        <v>145</v>
      </c>
      <c r="E324" s="157" t="s">
        <v>3</v>
      </c>
      <c r="F324" s="158">
        <v>1</v>
      </c>
      <c r="H324" s="159">
        <v>1</v>
      </c>
      <c r="I324" s="280"/>
      <c r="L324" s="156"/>
      <c r="M324" s="160"/>
      <c r="N324" s="161"/>
      <c r="O324" s="161"/>
      <c r="P324" s="161"/>
      <c r="Q324" s="161"/>
      <c r="R324" s="161"/>
      <c r="S324" s="161"/>
      <c r="T324" s="162"/>
      <c r="AT324" s="157" t="s">
        <v>145</v>
      </c>
      <c r="AU324" s="157" t="s">
        <v>82</v>
      </c>
      <c r="AV324" s="14" t="s">
        <v>82</v>
      </c>
      <c r="AW324" s="14" t="s">
        <v>34</v>
      </c>
      <c r="AX324" s="14" t="s">
        <v>80</v>
      </c>
      <c r="AY324" s="157" t="s">
        <v>138</v>
      </c>
    </row>
    <row r="325" spans="1:65" s="13" customFormat="1">
      <c r="B325" s="149"/>
      <c r="D325" s="150" t="s">
        <v>145</v>
      </c>
      <c r="E325" s="151" t="s">
        <v>3</v>
      </c>
      <c r="F325" s="152" t="s">
        <v>1490</v>
      </c>
      <c r="H325" s="151" t="s">
        <v>3</v>
      </c>
      <c r="I325" s="282"/>
      <c r="L325" s="149"/>
      <c r="M325" s="153"/>
      <c r="N325" s="154"/>
      <c r="O325" s="154"/>
      <c r="P325" s="154"/>
      <c r="Q325" s="154"/>
      <c r="R325" s="154"/>
      <c r="S325" s="154"/>
      <c r="T325" s="155"/>
      <c r="AT325" s="151" t="s">
        <v>145</v>
      </c>
      <c r="AU325" s="151" t="s">
        <v>82</v>
      </c>
      <c r="AV325" s="13" t="s">
        <v>80</v>
      </c>
      <c r="AW325" s="13" t="s">
        <v>34</v>
      </c>
      <c r="AX325" s="13" t="s">
        <v>72</v>
      </c>
      <c r="AY325" s="151" t="s">
        <v>138</v>
      </c>
    </row>
    <row r="326" spans="1:65" s="14" customFormat="1">
      <c r="B326" s="156"/>
      <c r="D326" s="150" t="s">
        <v>145</v>
      </c>
      <c r="E326" s="157" t="s">
        <v>3</v>
      </c>
      <c r="F326" s="158">
        <v>2</v>
      </c>
      <c r="H326" s="159">
        <v>2</v>
      </c>
      <c r="I326" s="280"/>
      <c r="L326" s="156"/>
      <c r="M326" s="160"/>
      <c r="N326" s="161"/>
      <c r="O326" s="161"/>
      <c r="P326" s="161"/>
      <c r="Q326" s="161"/>
      <c r="R326" s="161"/>
      <c r="S326" s="161"/>
      <c r="T326" s="162"/>
      <c r="AT326" s="157" t="s">
        <v>145</v>
      </c>
      <c r="AU326" s="157" t="s">
        <v>82</v>
      </c>
      <c r="AV326" s="14" t="s">
        <v>82</v>
      </c>
      <c r="AW326" s="14" t="s">
        <v>34</v>
      </c>
      <c r="AX326" s="14" t="s">
        <v>80</v>
      </c>
      <c r="AY326" s="157" t="s">
        <v>138</v>
      </c>
    </row>
    <row r="327" spans="1:65" s="2" customFormat="1" ht="62.65" customHeight="1">
      <c r="A327" s="31"/>
      <c r="B327" s="136"/>
      <c r="C327" s="173">
        <v>48</v>
      </c>
      <c r="D327" s="173" t="s">
        <v>164</v>
      </c>
      <c r="E327" s="174" t="s">
        <v>1498</v>
      </c>
      <c r="F327" s="175" t="s">
        <v>336</v>
      </c>
      <c r="G327" s="176" t="s">
        <v>147</v>
      </c>
      <c r="H327" s="177">
        <f>H330+H332</f>
        <v>4</v>
      </c>
      <c r="I327" s="281"/>
      <c r="J327" s="178">
        <f>ROUND(I327*H327,2)</f>
        <v>0</v>
      </c>
      <c r="K327" s="175" t="s">
        <v>143</v>
      </c>
      <c r="L327" s="179"/>
      <c r="M327" s="180" t="s">
        <v>3</v>
      </c>
      <c r="N327" s="181" t="s">
        <v>43</v>
      </c>
      <c r="O327" s="145">
        <v>0</v>
      </c>
      <c r="P327" s="145">
        <f>O327*H327</f>
        <v>0</v>
      </c>
      <c r="Q327" s="145">
        <v>0</v>
      </c>
      <c r="R327" s="145">
        <f>Q327*H327</f>
        <v>0</v>
      </c>
      <c r="S327" s="145">
        <v>0</v>
      </c>
      <c r="T327" s="146">
        <f>S327*H327</f>
        <v>0</v>
      </c>
      <c r="U327" s="31"/>
      <c r="V327" s="275"/>
      <c r="W327" s="275"/>
      <c r="X327" s="31"/>
      <c r="Y327" s="31"/>
      <c r="Z327" s="31"/>
      <c r="AA327" s="31"/>
      <c r="AB327" s="31"/>
      <c r="AC327" s="31"/>
      <c r="AD327" s="31"/>
      <c r="AE327" s="31"/>
      <c r="AR327" s="147" t="s">
        <v>224</v>
      </c>
      <c r="AT327" s="147" t="s">
        <v>164</v>
      </c>
      <c r="AU327" s="147" t="s">
        <v>82</v>
      </c>
      <c r="AY327" s="19" t="s">
        <v>138</v>
      </c>
      <c r="BE327" s="148">
        <f>IF(N327="základní",J327,0)</f>
        <v>0</v>
      </c>
      <c r="BF327" s="148">
        <f>IF(N327="snížená",J327,0)</f>
        <v>0</v>
      </c>
      <c r="BG327" s="148">
        <f>IF(N327="zákl. přenesená",J327,0)</f>
        <v>0</v>
      </c>
      <c r="BH327" s="148">
        <f>IF(N327="sníž. přenesená",J327,0)</f>
        <v>0</v>
      </c>
      <c r="BI327" s="148">
        <f>IF(N327="nulová",J327,0)</f>
        <v>0</v>
      </c>
      <c r="BJ327" s="19" t="s">
        <v>80</v>
      </c>
      <c r="BK327" s="148">
        <f>ROUND(I327*H327,2)</f>
        <v>0</v>
      </c>
      <c r="BL327" s="19" t="s">
        <v>200</v>
      </c>
      <c r="BM327" s="147" t="s">
        <v>337</v>
      </c>
    </row>
    <row r="328" spans="1:65" s="2" customFormat="1" ht="58.5">
      <c r="A328" s="31"/>
      <c r="B328" s="32"/>
      <c r="C328" s="31"/>
      <c r="D328" s="150" t="s">
        <v>242</v>
      </c>
      <c r="E328" s="31"/>
      <c r="F328" s="163" t="s">
        <v>335</v>
      </c>
      <c r="G328" s="31"/>
      <c r="H328" s="31"/>
      <c r="I328" s="279"/>
      <c r="J328" s="31"/>
      <c r="K328" s="31"/>
      <c r="L328" s="32"/>
      <c r="M328" s="164"/>
      <c r="N328" s="165"/>
      <c r="O328" s="52"/>
      <c r="P328" s="52"/>
      <c r="Q328" s="52"/>
      <c r="R328" s="52"/>
      <c r="S328" s="52"/>
      <c r="T328" s="53"/>
      <c r="U328" s="31"/>
      <c r="V328" s="31"/>
      <c r="W328" s="31"/>
      <c r="X328" s="31"/>
      <c r="Y328" s="31"/>
      <c r="Z328" s="31"/>
      <c r="AA328" s="31"/>
      <c r="AB328" s="31"/>
      <c r="AC328" s="31"/>
      <c r="AD328" s="31"/>
      <c r="AE328" s="31"/>
      <c r="AT328" s="19" t="s">
        <v>242</v>
      </c>
      <c r="AU328" s="19" t="s">
        <v>82</v>
      </c>
    </row>
    <row r="329" spans="1:65" s="13" customFormat="1">
      <c r="B329" s="149"/>
      <c r="D329" s="150" t="s">
        <v>145</v>
      </c>
      <c r="E329" s="151" t="s">
        <v>3</v>
      </c>
      <c r="F329" s="152" t="s">
        <v>1488</v>
      </c>
      <c r="H329" s="151" t="s">
        <v>3</v>
      </c>
      <c r="I329" s="282"/>
      <c r="L329" s="149"/>
      <c r="M329" s="153"/>
      <c r="N329" s="154"/>
      <c r="O329" s="154"/>
      <c r="P329" s="154"/>
      <c r="Q329" s="154"/>
      <c r="R329" s="154"/>
      <c r="S329" s="154"/>
      <c r="T329" s="155"/>
      <c r="AT329" s="151" t="s">
        <v>145</v>
      </c>
      <c r="AU329" s="151" t="s">
        <v>82</v>
      </c>
      <c r="AV329" s="13" t="s">
        <v>80</v>
      </c>
      <c r="AW329" s="13" t="s">
        <v>34</v>
      </c>
      <c r="AX329" s="13" t="s">
        <v>72</v>
      </c>
      <c r="AY329" s="151" t="s">
        <v>138</v>
      </c>
    </row>
    <row r="330" spans="1:65" s="14" customFormat="1">
      <c r="B330" s="156"/>
      <c r="D330" s="150" t="s">
        <v>145</v>
      </c>
      <c r="E330" s="157" t="s">
        <v>3</v>
      </c>
      <c r="F330" s="158">
        <v>3</v>
      </c>
      <c r="H330" s="159">
        <v>3</v>
      </c>
      <c r="I330" s="280"/>
      <c r="L330" s="156"/>
      <c r="M330" s="160"/>
      <c r="N330" s="161"/>
      <c r="O330" s="161"/>
      <c r="P330" s="161"/>
      <c r="Q330" s="161"/>
      <c r="R330" s="161"/>
      <c r="S330" s="161"/>
      <c r="T330" s="162"/>
      <c r="AT330" s="157" t="s">
        <v>145</v>
      </c>
      <c r="AU330" s="157" t="s">
        <v>82</v>
      </c>
      <c r="AV330" s="14" t="s">
        <v>82</v>
      </c>
      <c r="AW330" s="14" t="s">
        <v>34</v>
      </c>
      <c r="AX330" s="14" t="s">
        <v>80</v>
      </c>
      <c r="AY330" s="157" t="s">
        <v>138</v>
      </c>
    </row>
    <row r="331" spans="1:65" s="13" customFormat="1">
      <c r="B331" s="149"/>
      <c r="D331" s="150" t="s">
        <v>145</v>
      </c>
      <c r="E331" s="151" t="s">
        <v>3</v>
      </c>
      <c r="F331" s="152" t="s">
        <v>1487</v>
      </c>
      <c r="H331" s="151" t="s">
        <v>3</v>
      </c>
      <c r="I331" s="282"/>
      <c r="L331" s="149"/>
      <c r="M331" s="153"/>
      <c r="N331" s="154"/>
      <c r="O331" s="154"/>
      <c r="P331" s="154"/>
      <c r="Q331" s="154"/>
      <c r="R331" s="154"/>
      <c r="S331" s="154"/>
      <c r="T331" s="155"/>
      <c r="AT331" s="151" t="s">
        <v>145</v>
      </c>
      <c r="AU331" s="151" t="s">
        <v>82</v>
      </c>
      <c r="AV331" s="13" t="s">
        <v>80</v>
      </c>
      <c r="AW331" s="13" t="s">
        <v>34</v>
      </c>
      <c r="AX331" s="13" t="s">
        <v>72</v>
      </c>
      <c r="AY331" s="151" t="s">
        <v>138</v>
      </c>
    </row>
    <row r="332" spans="1:65" s="14" customFormat="1">
      <c r="B332" s="156"/>
      <c r="D332" s="150" t="s">
        <v>145</v>
      </c>
      <c r="E332" s="157" t="s">
        <v>3</v>
      </c>
      <c r="F332" s="158">
        <v>1</v>
      </c>
      <c r="H332" s="159">
        <v>1</v>
      </c>
      <c r="I332" s="280"/>
      <c r="L332" s="156"/>
      <c r="M332" s="160"/>
      <c r="N332" s="161"/>
      <c r="O332" s="161"/>
      <c r="P332" s="161"/>
      <c r="Q332" s="161"/>
      <c r="R332" s="161"/>
      <c r="S332" s="161"/>
      <c r="T332" s="162"/>
      <c r="AT332" s="157" t="s">
        <v>145</v>
      </c>
      <c r="AU332" s="157" t="s">
        <v>82</v>
      </c>
      <c r="AV332" s="14" t="s">
        <v>82</v>
      </c>
      <c r="AW332" s="14" t="s">
        <v>34</v>
      </c>
      <c r="AX332" s="14" t="s">
        <v>80</v>
      </c>
      <c r="AY332" s="157" t="s">
        <v>138</v>
      </c>
    </row>
    <row r="333" spans="1:65" s="2" customFormat="1" ht="62.65" customHeight="1">
      <c r="A333" s="31"/>
      <c r="B333" s="136"/>
      <c r="C333" s="173">
        <v>49</v>
      </c>
      <c r="D333" s="173" t="s">
        <v>164</v>
      </c>
      <c r="E333" s="174" t="s">
        <v>1498</v>
      </c>
      <c r="F333" s="175" t="s">
        <v>338</v>
      </c>
      <c r="G333" s="176" t="s">
        <v>147</v>
      </c>
      <c r="H333" s="177">
        <v>2</v>
      </c>
      <c r="I333" s="281"/>
      <c r="J333" s="178">
        <f>ROUND(I333*H333,2)</f>
        <v>0</v>
      </c>
      <c r="K333" s="175" t="s">
        <v>143</v>
      </c>
      <c r="L333" s="179"/>
      <c r="M333" s="180" t="s">
        <v>3</v>
      </c>
      <c r="N333" s="181" t="s">
        <v>43</v>
      </c>
      <c r="O333" s="145">
        <v>0</v>
      </c>
      <c r="P333" s="145">
        <f>O333*H333</f>
        <v>0</v>
      </c>
      <c r="Q333" s="145">
        <v>0</v>
      </c>
      <c r="R333" s="145">
        <f>Q333*H333</f>
        <v>0</v>
      </c>
      <c r="S333" s="145">
        <v>0</v>
      </c>
      <c r="T333" s="146">
        <f>S333*H333</f>
        <v>0</v>
      </c>
      <c r="U333" s="31"/>
      <c r="V333" s="275"/>
      <c r="W333" s="275"/>
      <c r="X333" s="31"/>
      <c r="Y333" s="31"/>
      <c r="Z333" s="31"/>
      <c r="AA333" s="31"/>
      <c r="AB333" s="31"/>
      <c r="AC333" s="31"/>
      <c r="AD333" s="31"/>
      <c r="AE333" s="31"/>
      <c r="AR333" s="147" t="s">
        <v>224</v>
      </c>
      <c r="AT333" s="147" t="s">
        <v>164</v>
      </c>
      <c r="AU333" s="147" t="s">
        <v>82</v>
      </c>
      <c r="AY333" s="19" t="s">
        <v>138</v>
      </c>
      <c r="BE333" s="148">
        <f>IF(N333="základní",J333,0)</f>
        <v>0</v>
      </c>
      <c r="BF333" s="148">
        <f>IF(N333="snížená",J333,0)</f>
        <v>0</v>
      </c>
      <c r="BG333" s="148">
        <f>IF(N333="zákl. přenesená",J333,0)</f>
        <v>0</v>
      </c>
      <c r="BH333" s="148">
        <f>IF(N333="sníž. přenesená",J333,0)</f>
        <v>0</v>
      </c>
      <c r="BI333" s="148">
        <f>IF(N333="nulová",J333,0)</f>
        <v>0</v>
      </c>
      <c r="BJ333" s="19" t="s">
        <v>80</v>
      </c>
      <c r="BK333" s="148">
        <f>ROUND(I333*H333,2)</f>
        <v>0</v>
      </c>
      <c r="BL333" s="19" t="s">
        <v>200</v>
      </c>
      <c r="BM333" s="147" t="s">
        <v>339</v>
      </c>
    </row>
    <row r="334" spans="1:65" s="2" customFormat="1" ht="58.5">
      <c r="A334" s="31"/>
      <c r="B334" s="32"/>
      <c r="C334" s="31"/>
      <c r="D334" s="150" t="s">
        <v>242</v>
      </c>
      <c r="E334" s="31"/>
      <c r="F334" s="163" t="s">
        <v>340</v>
      </c>
      <c r="G334" s="31"/>
      <c r="H334" s="31"/>
      <c r="I334" s="279"/>
      <c r="J334" s="31"/>
      <c r="K334" s="31"/>
      <c r="L334" s="32"/>
      <c r="M334" s="164"/>
      <c r="N334" s="165"/>
      <c r="O334" s="52"/>
      <c r="P334" s="52"/>
      <c r="Q334" s="52"/>
      <c r="R334" s="52"/>
      <c r="S334" s="52"/>
      <c r="T334" s="53"/>
      <c r="U334" s="31"/>
      <c r="V334" s="31"/>
      <c r="W334" s="31"/>
      <c r="X334" s="31"/>
      <c r="Y334" s="31"/>
      <c r="Z334" s="31"/>
      <c r="AA334" s="31"/>
      <c r="AB334" s="31"/>
      <c r="AC334" s="31"/>
      <c r="AD334" s="31"/>
      <c r="AE334" s="31"/>
      <c r="AT334" s="19" t="s">
        <v>242</v>
      </c>
      <c r="AU334" s="19" t="s">
        <v>82</v>
      </c>
    </row>
    <row r="335" spans="1:65" s="13" customFormat="1">
      <c r="B335" s="149"/>
      <c r="D335" s="150" t="s">
        <v>145</v>
      </c>
      <c r="E335" s="151" t="s">
        <v>3</v>
      </c>
      <c r="F335" s="152" t="s">
        <v>1486</v>
      </c>
      <c r="H335" s="151" t="s">
        <v>3</v>
      </c>
      <c r="I335" s="282"/>
      <c r="L335" s="149"/>
      <c r="M335" s="153"/>
      <c r="N335" s="154"/>
      <c r="O335" s="154"/>
      <c r="P335" s="154"/>
      <c r="Q335" s="154"/>
      <c r="R335" s="154"/>
      <c r="S335" s="154"/>
      <c r="T335" s="155"/>
      <c r="AT335" s="151" t="s">
        <v>145</v>
      </c>
      <c r="AU335" s="151" t="s">
        <v>82</v>
      </c>
      <c r="AV335" s="13" t="s">
        <v>80</v>
      </c>
      <c r="AW335" s="13" t="s">
        <v>34</v>
      </c>
      <c r="AX335" s="13" t="s">
        <v>72</v>
      </c>
      <c r="AY335" s="151" t="s">
        <v>138</v>
      </c>
    </row>
    <row r="336" spans="1:65" s="14" customFormat="1">
      <c r="B336" s="156"/>
      <c r="D336" s="150" t="s">
        <v>145</v>
      </c>
      <c r="E336" s="157" t="s">
        <v>3</v>
      </c>
      <c r="F336" s="158">
        <v>2</v>
      </c>
      <c r="H336" s="159">
        <v>2</v>
      </c>
      <c r="I336" s="280"/>
      <c r="L336" s="156"/>
      <c r="M336" s="160"/>
      <c r="N336" s="161"/>
      <c r="O336" s="161"/>
      <c r="P336" s="161"/>
      <c r="Q336" s="161"/>
      <c r="R336" s="161"/>
      <c r="S336" s="161"/>
      <c r="T336" s="162"/>
      <c r="AT336" s="157" t="s">
        <v>145</v>
      </c>
      <c r="AU336" s="157" t="s">
        <v>82</v>
      </c>
      <c r="AV336" s="14" t="s">
        <v>82</v>
      </c>
      <c r="AW336" s="14" t="s">
        <v>34</v>
      </c>
      <c r="AX336" s="14" t="s">
        <v>80</v>
      </c>
      <c r="AY336" s="157" t="s">
        <v>138</v>
      </c>
    </row>
    <row r="337" spans="1:65" s="2" customFormat="1" ht="62.65" customHeight="1">
      <c r="A337" s="31"/>
      <c r="B337" s="136"/>
      <c r="C337" s="173">
        <v>50</v>
      </c>
      <c r="D337" s="173" t="s">
        <v>164</v>
      </c>
      <c r="E337" s="174" t="s">
        <v>1497</v>
      </c>
      <c r="F337" s="175" t="s">
        <v>341</v>
      </c>
      <c r="G337" s="176" t="s">
        <v>147</v>
      </c>
      <c r="H337" s="177">
        <v>3</v>
      </c>
      <c r="I337" s="281"/>
      <c r="J337" s="178">
        <f>ROUND(I337*H337,2)</f>
        <v>0</v>
      </c>
      <c r="K337" s="175" t="s">
        <v>143</v>
      </c>
      <c r="L337" s="179"/>
      <c r="M337" s="180" t="s">
        <v>3</v>
      </c>
      <c r="N337" s="181" t="s">
        <v>43</v>
      </c>
      <c r="O337" s="145">
        <v>0</v>
      </c>
      <c r="P337" s="145">
        <f>O337*H337</f>
        <v>0</v>
      </c>
      <c r="Q337" s="145">
        <v>0</v>
      </c>
      <c r="R337" s="145">
        <f>Q337*H337</f>
        <v>0</v>
      </c>
      <c r="S337" s="145">
        <v>0</v>
      </c>
      <c r="T337" s="146">
        <f>S337*H337</f>
        <v>0</v>
      </c>
      <c r="U337" s="31"/>
      <c r="V337" s="31"/>
      <c r="W337" s="31"/>
      <c r="X337" s="31"/>
      <c r="Y337" s="31"/>
      <c r="Z337" s="31"/>
      <c r="AA337" s="31"/>
      <c r="AB337" s="31"/>
      <c r="AC337" s="31"/>
      <c r="AD337" s="31"/>
      <c r="AE337" s="31"/>
      <c r="AR337" s="147" t="s">
        <v>224</v>
      </c>
      <c r="AT337" s="147" t="s">
        <v>164</v>
      </c>
      <c r="AU337" s="147" t="s">
        <v>82</v>
      </c>
      <c r="AY337" s="19" t="s">
        <v>138</v>
      </c>
      <c r="BE337" s="148">
        <f>IF(N337="základní",J337,0)</f>
        <v>0</v>
      </c>
      <c r="BF337" s="148">
        <f>IF(N337="snížená",J337,0)</f>
        <v>0</v>
      </c>
      <c r="BG337" s="148">
        <f>IF(N337="zákl. přenesená",J337,0)</f>
        <v>0</v>
      </c>
      <c r="BH337" s="148">
        <f>IF(N337="sníž. přenesená",J337,0)</f>
        <v>0</v>
      </c>
      <c r="BI337" s="148">
        <f>IF(N337="nulová",J337,0)</f>
        <v>0</v>
      </c>
      <c r="BJ337" s="19" t="s">
        <v>80</v>
      </c>
      <c r="BK337" s="148">
        <f>ROUND(I337*H337,2)</f>
        <v>0</v>
      </c>
      <c r="BL337" s="19" t="s">
        <v>200</v>
      </c>
      <c r="BM337" s="147" t="s">
        <v>342</v>
      </c>
    </row>
    <row r="338" spans="1:65" s="2" customFormat="1" ht="58.5">
      <c r="A338" s="31"/>
      <c r="B338" s="32"/>
      <c r="C338" s="31"/>
      <c r="D338" s="150" t="s">
        <v>242</v>
      </c>
      <c r="E338" s="31"/>
      <c r="F338" s="163" t="s">
        <v>340</v>
      </c>
      <c r="G338" s="31"/>
      <c r="H338" s="31"/>
      <c r="I338" s="279"/>
      <c r="J338" s="31"/>
      <c r="K338" s="31"/>
      <c r="L338" s="32"/>
      <c r="M338" s="164"/>
      <c r="N338" s="165"/>
      <c r="O338" s="52"/>
      <c r="P338" s="52"/>
      <c r="Q338" s="52"/>
      <c r="R338" s="52"/>
      <c r="S338" s="52"/>
      <c r="T338" s="53"/>
      <c r="U338" s="31"/>
      <c r="V338" s="31"/>
      <c r="W338" s="31"/>
      <c r="X338" s="31"/>
      <c r="Y338" s="31"/>
      <c r="Z338" s="31"/>
      <c r="AA338" s="31"/>
      <c r="AB338" s="31"/>
      <c r="AC338" s="31"/>
      <c r="AD338" s="31"/>
      <c r="AE338" s="31"/>
      <c r="AT338" s="19" t="s">
        <v>242</v>
      </c>
      <c r="AU338" s="19" t="s">
        <v>82</v>
      </c>
    </row>
    <row r="339" spans="1:65" s="13" customFormat="1">
      <c r="B339" s="149"/>
      <c r="D339" s="150" t="s">
        <v>145</v>
      </c>
      <c r="E339" s="151" t="s">
        <v>3</v>
      </c>
      <c r="F339" s="152" t="s">
        <v>1485</v>
      </c>
      <c r="H339" s="151" t="s">
        <v>3</v>
      </c>
      <c r="I339" s="282"/>
      <c r="L339" s="149"/>
      <c r="M339" s="153"/>
      <c r="N339" s="154"/>
      <c r="O339" s="154"/>
      <c r="P339" s="154"/>
      <c r="Q339" s="154"/>
      <c r="R339" s="154"/>
      <c r="S339" s="154"/>
      <c r="T339" s="155"/>
      <c r="AT339" s="151" t="s">
        <v>145</v>
      </c>
      <c r="AU339" s="151" t="s">
        <v>82</v>
      </c>
      <c r="AV339" s="13" t="s">
        <v>80</v>
      </c>
      <c r="AW339" s="13" t="s">
        <v>34</v>
      </c>
      <c r="AX339" s="13" t="s">
        <v>72</v>
      </c>
      <c r="AY339" s="151" t="s">
        <v>138</v>
      </c>
    </row>
    <row r="340" spans="1:65" s="14" customFormat="1">
      <c r="B340" s="156"/>
      <c r="D340" s="150" t="s">
        <v>145</v>
      </c>
      <c r="E340" s="157" t="s">
        <v>3</v>
      </c>
      <c r="F340" s="158">
        <v>3</v>
      </c>
      <c r="H340" s="159">
        <v>3</v>
      </c>
      <c r="I340" s="280"/>
      <c r="L340" s="156"/>
      <c r="M340" s="160"/>
      <c r="N340" s="161"/>
      <c r="O340" s="161"/>
      <c r="P340" s="161"/>
      <c r="Q340" s="161"/>
      <c r="R340" s="161"/>
      <c r="S340" s="161"/>
      <c r="T340" s="162"/>
      <c r="AT340" s="157" t="s">
        <v>145</v>
      </c>
      <c r="AU340" s="157" t="s">
        <v>82</v>
      </c>
      <c r="AV340" s="14" t="s">
        <v>82</v>
      </c>
      <c r="AW340" s="14" t="s">
        <v>34</v>
      </c>
      <c r="AX340" s="14" t="s">
        <v>80</v>
      </c>
      <c r="AY340" s="157" t="s">
        <v>138</v>
      </c>
    </row>
    <row r="341" spans="1:65" s="2" customFormat="1" ht="37.9" customHeight="1">
      <c r="A341" s="31"/>
      <c r="B341" s="136"/>
      <c r="C341" s="137">
        <v>51</v>
      </c>
      <c r="D341" s="137" t="s">
        <v>141</v>
      </c>
      <c r="E341" s="138" t="s">
        <v>343</v>
      </c>
      <c r="F341" s="139" t="s">
        <v>344</v>
      </c>
      <c r="G341" s="140" t="s">
        <v>147</v>
      </c>
      <c r="H341" s="141">
        <f>H344</f>
        <v>2</v>
      </c>
      <c r="I341" s="278"/>
      <c r="J341" s="142">
        <f>ROUND(I341*H341,2)</f>
        <v>0</v>
      </c>
      <c r="K341" s="139" t="s">
        <v>148</v>
      </c>
      <c r="L341" s="32"/>
      <c r="M341" s="143" t="s">
        <v>3</v>
      </c>
      <c r="N341" s="144" t="s">
        <v>43</v>
      </c>
      <c r="O341" s="145">
        <v>1.825</v>
      </c>
      <c r="P341" s="145">
        <f>O341*H341</f>
        <v>3.65</v>
      </c>
      <c r="Q341" s="145">
        <v>0</v>
      </c>
      <c r="R341" s="145">
        <f>Q341*H341</f>
        <v>0</v>
      </c>
      <c r="S341" s="145">
        <v>0</v>
      </c>
      <c r="T341" s="146">
        <f>S341*H341</f>
        <v>0</v>
      </c>
      <c r="U341" s="31"/>
      <c r="V341" s="31"/>
      <c r="W341" s="31"/>
      <c r="X341" s="31"/>
      <c r="Y341" s="31"/>
      <c r="Z341" s="31"/>
      <c r="AA341" s="31"/>
      <c r="AB341" s="31"/>
      <c r="AC341" s="31"/>
      <c r="AD341" s="31"/>
      <c r="AE341" s="31"/>
      <c r="AR341" s="147" t="s">
        <v>200</v>
      </c>
      <c r="AT341" s="147" t="s">
        <v>141</v>
      </c>
      <c r="AU341" s="147" t="s">
        <v>82</v>
      </c>
      <c r="AY341" s="19" t="s">
        <v>138</v>
      </c>
      <c r="BE341" s="148">
        <f>IF(N341="základní",J341,0)</f>
        <v>0</v>
      </c>
      <c r="BF341" s="148">
        <f>IF(N341="snížená",J341,0)</f>
        <v>0</v>
      </c>
      <c r="BG341" s="148">
        <f>IF(N341="zákl. přenesená",J341,0)</f>
        <v>0</v>
      </c>
      <c r="BH341" s="148">
        <f>IF(N341="sníž. přenesená",J341,0)</f>
        <v>0</v>
      </c>
      <c r="BI341" s="148">
        <f>IF(N341="nulová",J341,0)</f>
        <v>0</v>
      </c>
      <c r="BJ341" s="19" t="s">
        <v>80</v>
      </c>
      <c r="BK341" s="148">
        <f>ROUND(I341*H341,2)</f>
        <v>0</v>
      </c>
      <c r="BL341" s="19" t="s">
        <v>200</v>
      </c>
      <c r="BM341" s="147" t="s">
        <v>345</v>
      </c>
    </row>
    <row r="342" spans="1:65" s="2" customFormat="1" ht="136.5">
      <c r="A342" s="31"/>
      <c r="B342" s="32"/>
      <c r="C342" s="31"/>
      <c r="D342" s="150" t="s">
        <v>149</v>
      </c>
      <c r="E342" s="31"/>
      <c r="F342" s="163" t="s">
        <v>322</v>
      </c>
      <c r="G342" s="31"/>
      <c r="H342" s="31"/>
      <c r="I342" s="279"/>
      <c r="J342" s="31"/>
      <c r="K342" s="31"/>
      <c r="L342" s="32"/>
      <c r="M342" s="164"/>
      <c r="N342" s="165"/>
      <c r="O342" s="52"/>
      <c r="P342" s="52"/>
      <c r="Q342" s="52"/>
      <c r="R342" s="52"/>
      <c r="S342" s="52"/>
      <c r="T342" s="53"/>
      <c r="U342" s="31"/>
      <c r="V342" s="31"/>
      <c r="W342" s="31"/>
      <c r="X342" s="31"/>
      <c r="Y342" s="31"/>
      <c r="Z342" s="31"/>
      <c r="AA342" s="31"/>
      <c r="AB342" s="31"/>
      <c r="AC342" s="31"/>
      <c r="AD342" s="31"/>
      <c r="AE342" s="31"/>
      <c r="AT342" s="19" t="s">
        <v>149</v>
      </c>
      <c r="AU342" s="19" t="s">
        <v>82</v>
      </c>
    </row>
    <row r="343" spans="1:65" s="2" customFormat="1" ht="29.25">
      <c r="A343" s="31"/>
      <c r="B343" s="32"/>
      <c r="C343" s="31"/>
      <c r="D343" s="150" t="s">
        <v>242</v>
      </c>
      <c r="E343" s="31"/>
      <c r="F343" s="163" t="s">
        <v>323</v>
      </c>
      <c r="G343" s="31"/>
      <c r="H343" s="31"/>
      <c r="I343" s="279"/>
      <c r="J343" s="31"/>
      <c r="K343" s="31"/>
      <c r="L343" s="32"/>
      <c r="M343" s="164"/>
      <c r="N343" s="165"/>
      <c r="O343" s="52"/>
      <c r="P343" s="52"/>
      <c r="Q343" s="52"/>
      <c r="R343" s="52"/>
      <c r="S343" s="52"/>
      <c r="T343" s="53"/>
      <c r="U343" s="31"/>
      <c r="V343" s="31"/>
      <c r="W343" s="31"/>
      <c r="X343" s="31"/>
      <c r="Y343" s="31"/>
      <c r="Z343" s="31"/>
      <c r="AA343" s="31"/>
      <c r="AB343" s="31"/>
      <c r="AC343" s="31"/>
      <c r="AD343" s="31"/>
      <c r="AE343" s="31"/>
      <c r="AT343" s="19" t="s">
        <v>242</v>
      </c>
      <c r="AU343" s="19" t="s">
        <v>82</v>
      </c>
    </row>
    <row r="344" spans="1:65" s="2" customFormat="1" ht="76.349999999999994" customHeight="1">
      <c r="A344" s="31"/>
      <c r="B344" s="136"/>
      <c r="C344" s="173">
        <v>52</v>
      </c>
      <c r="D344" s="173" t="s">
        <v>164</v>
      </c>
      <c r="E344" s="174" t="s">
        <v>1498</v>
      </c>
      <c r="F344" s="175" t="s">
        <v>1484</v>
      </c>
      <c r="G344" s="176" t="s">
        <v>147</v>
      </c>
      <c r="H344" s="177">
        <f>H347+H349</f>
        <v>2</v>
      </c>
      <c r="I344" s="281"/>
      <c r="J344" s="178">
        <f>ROUND(I344*H344,2)</f>
        <v>0</v>
      </c>
      <c r="K344" s="175" t="s">
        <v>143</v>
      </c>
      <c r="L344" s="179"/>
      <c r="M344" s="180" t="s">
        <v>3</v>
      </c>
      <c r="N344" s="181" t="s">
        <v>43</v>
      </c>
      <c r="O344" s="145">
        <v>0</v>
      </c>
      <c r="P344" s="145">
        <f>O344*H344</f>
        <v>0</v>
      </c>
      <c r="Q344" s="145">
        <v>0</v>
      </c>
      <c r="R344" s="145">
        <f>Q344*H344</f>
        <v>0</v>
      </c>
      <c r="S344" s="145">
        <v>0</v>
      </c>
      <c r="T344" s="146">
        <f>S344*H344</f>
        <v>0</v>
      </c>
      <c r="U344" s="31"/>
      <c r="V344" s="275"/>
      <c r="W344" s="275"/>
      <c r="X344" s="31"/>
      <c r="Y344" s="31"/>
      <c r="Z344" s="31"/>
      <c r="AA344" s="31"/>
      <c r="AB344" s="31"/>
      <c r="AC344" s="31"/>
      <c r="AD344" s="31"/>
      <c r="AE344" s="31"/>
      <c r="AR344" s="147" t="s">
        <v>224</v>
      </c>
      <c r="AT344" s="147" t="s">
        <v>164</v>
      </c>
      <c r="AU344" s="147" t="s">
        <v>82</v>
      </c>
      <c r="AY344" s="19" t="s">
        <v>138</v>
      </c>
      <c r="BE344" s="148">
        <f>IF(N344="základní",J344,0)</f>
        <v>0</v>
      </c>
      <c r="BF344" s="148">
        <f>IF(N344="snížená",J344,0)</f>
        <v>0</v>
      </c>
      <c r="BG344" s="148">
        <f>IF(N344="zákl. přenesená",J344,0)</f>
        <v>0</v>
      </c>
      <c r="BH344" s="148">
        <f>IF(N344="sníž. přenesená",J344,0)</f>
        <v>0</v>
      </c>
      <c r="BI344" s="148">
        <f>IF(N344="nulová",J344,0)</f>
        <v>0</v>
      </c>
      <c r="BJ344" s="19" t="s">
        <v>80</v>
      </c>
      <c r="BK344" s="148">
        <f>ROUND(I344*H344,2)</f>
        <v>0</v>
      </c>
      <c r="BL344" s="19" t="s">
        <v>200</v>
      </c>
      <c r="BM344" s="147" t="s">
        <v>346</v>
      </c>
    </row>
    <row r="345" spans="1:65" s="2" customFormat="1" ht="58.5">
      <c r="A345" s="31"/>
      <c r="B345" s="32"/>
      <c r="C345" s="31"/>
      <c r="D345" s="150" t="s">
        <v>242</v>
      </c>
      <c r="E345" s="31"/>
      <c r="F345" s="163" t="s">
        <v>347</v>
      </c>
      <c r="G345" s="31"/>
      <c r="H345" s="31"/>
      <c r="I345" s="279"/>
      <c r="J345" s="31"/>
      <c r="K345" s="31"/>
      <c r="L345" s="32"/>
      <c r="M345" s="164"/>
      <c r="N345" s="165"/>
      <c r="O345" s="52"/>
      <c r="P345" s="52"/>
      <c r="Q345" s="52"/>
      <c r="R345" s="52"/>
      <c r="S345" s="52"/>
      <c r="T345" s="53"/>
      <c r="U345" s="31"/>
      <c r="V345" s="31"/>
      <c r="W345" s="31"/>
      <c r="X345" s="31"/>
      <c r="Y345" s="31"/>
      <c r="Z345" s="31"/>
      <c r="AA345" s="31"/>
      <c r="AB345" s="31"/>
      <c r="AC345" s="31"/>
      <c r="AD345" s="31"/>
      <c r="AE345" s="31"/>
      <c r="AT345" s="19" t="s">
        <v>242</v>
      </c>
      <c r="AU345" s="19" t="s">
        <v>82</v>
      </c>
    </row>
    <row r="346" spans="1:65" s="13" customFormat="1">
      <c r="B346" s="149"/>
      <c r="D346" s="150" t="s">
        <v>145</v>
      </c>
      <c r="E346" s="151" t="s">
        <v>3</v>
      </c>
      <c r="F346" s="152" t="s">
        <v>1482</v>
      </c>
      <c r="H346" s="151" t="s">
        <v>3</v>
      </c>
      <c r="I346" s="282"/>
      <c r="L346" s="149"/>
      <c r="M346" s="153"/>
      <c r="N346" s="154"/>
      <c r="O346" s="154"/>
      <c r="P346" s="154"/>
      <c r="Q346" s="154"/>
      <c r="R346" s="154"/>
      <c r="S346" s="154"/>
      <c r="T346" s="155"/>
      <c r="AT346" s="151" t="s">
        <v>145</v>
      </c>
      <c r="AU346" s="151" t="s">
        <v>82</v>
      </c>
      <c r="AV346" s="13" t="s">
        <v>80</v>
      </c>
      <c r="AW346" s="13" t="s">
        <v>34</v>
      </c>
      <c r="AX346" s="13" t="s">
        <v>72</v>
      </c>
      <c r="AY346" s="151" t="s">
        <v>138</v>
      </c>
    </row>
    <row r="347" spans="1:65" s="14" customFormat="1">
      <c r="B347" s="156"/>
      <c r="D347" s="150" t="s">
        <v>145</v>
      </c>
      <c r="E347" s="157" t="s">
        <v>3</v>
      </c>
      <c r="F347" s="158" t="s">
        <v>80</v>
      </c>
      <c r="H347" s="159">
        <v>1</v>
      </c>
      <c r="I347" s="280"/>
      <c r="L347" s="156"/>
      <c r="M347" s="160"/>
      <c r="N347" s="161"/>
      <c r="O347" s="161"/>
      <c r="P347" s="161"/>
      <c r="Q347" s="161"/>
      <c r="R347" s="161"/>
      <c r="S347" s="161"/>
      <c r="T347" s="162"/>
      <c r="AT347" s="157" t="s">
        <v>145</v>
      </c>
      <c r="AU347" s="157" t="s">
        <v>82</v>
      </c>
      <c r="AV347" s="14" t="s">
        <v>82</v>
      </c>
      <c r="AW347" s="14" t="s">
        <v>34</v>
      </c>
      <c r="AX347" s="14" t="s">
        <v>80</v>
      </c>
      <c r="AY347" s="157" t="s">
        <v>138</v>
      </c>
    </row>
    <row r="348" spans="1:65" s="13" customFormat="1">
      <c r="B348" s="149"/>
      <c r="D348" s="150" t="s">
        <v>145</v>
      </c>
      <c r="E348" s="151" t="s">
        <v>3</v>
      </c>
      <c r="F348" s="152" t="s">
        <v>1483</v>
      </c>
      <c r="H348" s="151" t="s">
        <v>3</v>
      </c>
      <c r="I348" s="282"/>
      <c r="L348" s="149"/>
      <c r="M348" s="153"/>
      <c r="N348" s="154"/>
      <c r="O348" s="154"/>
      <c r="P348" s="154"/>
      <c r="Q348" s="154"/>
      <c r="R348" s="154"/>
      <c r="S348" s="154"/>
      <c r="T348" s="155"/>
      <c r="AT348" s="151" t="s">
        <v>145</v>
      </c>
      <c r="AU348" s="151" t="s">
        <v>82</v>
      </c>
      <c r="AV348" s="13" t="s">
        <v>80</v>
      </c>
      <c r="AW348" s="13" t="s">
        <v>34</v>
      </c>
      <c r="AX348" s="13" t="s">
        <v>72</v>
      </c>
      <c r="AY348" s="151" t="s">
        <v>138</v>
      </c>
    </row>
    <row r="349" spans="1:65" s="14" customFormat="1">
      <c r="B349" s="156"/>
      <c r="D349" s="150" t="s">
        <v>145</v>
      </c>
      <c r="E349" s="157" t="s">
        <v>3</v>
      </c>
      <c r="F349" s="158" t="s">
        <v>80</v>
      </c>
      <c r="H349" s="159">
        <v>1</v>
      </c>
      <c r="I349" s="280"/>
      <c r="L349" s="156"/>
      <c r="M349" s="160"/>
      <c r="N349" s="161"/>
      <c r="O349" s="161"/>
      <c r="P349" s="161"/>
      <c r="Q349" s="161"/>
      <c r="R349" s="161"/>
      <c r="S349" s="161"/>
      <c r="T349" s="162"/>
      <c r="AT349" s="157" t="s">
        <v>145</v>
      </c>
      <c r="AU349" s="157" t="s">
        <v>82</v>
      </c>
      <c r="AV349" s="14" t="s">
        <v>82</v>
      </c>
      <c r="AW349" s="14" t="s">
        <v>34</v>
      </c>
      <c r="AX349" s="14" t="s">
        <v>80</v>
      </c>
      <c r="AY349" s="157" t="s">
        <v>138</v>
      </c>
    </row>
    <row r="350" spans="1:65" s="2" customFormat="1" ht="37.9" customHeight="1">
      <c r="A350" s="31"/>
      <c r="B350" s="136"/>
      <c r="C350" s="137">
        <v>53</v>
      </c>
      <c r="D350" s="137" t="s">
        <v>141</v>
      </c>
      <c r="E350" s="138" t="s">
        <v>348</v>
      </c>
      <c r="F350" s="139" t="s">
        <v>349</v>
      </c>
      <c r="G350" s="140" t="s">
        <v>308</v>
      </c>
      <c r="H350" s="141">
        <f>SUM(J286:J349)/100</f>
        <v>0</v>
      </c>
      <c r="I350" s="278"/>
      <c r="J350" s="142">
        <f>ROUND(I350*H350,2)</f>
        <v>0</v>
      </c>
      <c r="K350" s="139" t="s">
        <v>148</v>
      </c>
      <c r="L350" s="32"/>
      <c r="M350" s="143" t="s">
        <v>3</v>
      </c>
      <c r="N350" s="144" t="s">
        <v>43</v>
      </c>
      <c r="O350" s="145">
        <v>0</v>
      </c>
      <c r="P350" s="145">
        <f>O350*H350</f>
        <v>0</v>
      </c>
      <c r="Q350" s="145">
        <v>0</v>
      </c>
      <c r="R350" s="145">
        <f>Q350*H350</f>
        <v>0</v>
      </c>
      <c r="S350" s="145">
        <v>0</v>
      </c>
      <c r="T350" s="146">
        <f>S350*H350</f>
        <v>0</v>
      </c>
      <c r="U350" s="31"/>
      <c r="V350" s="31"/>
      <c r="W350" s="31"/>
      <c r="X350" s="31"/>
      <c r="Y350" s="31"/>
      <c r="Z350" s="31"/>
      <c r="AA350" s="31"/>
      <c r="AB350" s="31"/>
      <c r="AC350" s="31"/>
      <c r="AD350" s="31"/>
      <c r="AE350" s="31"/>
      <c r="AR350" s="147" t="s">
        <v>200</v>
      </c>
      <c r="AT350" s="147" t="s">
        <v>141</v>
      </c>
      <c r="AU350" s="147" t="s">
        <v>82</v>
      </c>
      <c r="AY350" s="19" t="s">
        <v>138</v>
      </c>
      <c r="BE350" s="148">
        <f>IF(N350="základní",J350,0)</f>
        <v>0</v>
      </c>
      <c r="BF350" s="148">
        <f>IF(N350="snížená",J350,0)</f>
        <v>0</v>
      </c>
      <c r="BG350" s="148">
        <f>IF(N350="zákl. přenesená",J350,0)</f>
        <v>0</v>
      </c>
      <c r="BH350" s="148">
        <f>IF(N350="sníž. přenesená",J350,0)</f>
        <v>0</v>
      </c>
      <c r="BI350" s="148">
        <f>IF(N350="nulová",J350,0)</f>
        <v>0</v>
      </c>
      <c r="BJ350" s="19" t="s">
        <v>80</v>
      </c>
      <c r="BK350" s="148">
        <f>ROUND(I350*H350,2)</f>
        <v>0</v>
      </c>
      <c r="BL350" s="19" t="s">
        <v>200</v>
      </c>
      <c r="BM350" s="147" t="s">
        <v>350</v>
      </c>
    </row>
    <row r="351" spans="1:65" s="2" customFormat="1" ht="126.75">
      <c r="A351" s="31"/>
      <c r="B351" s="32"/>
      <c r="C351" s="31"/>
      <c r="D351" s="150" t="s">
        <v>149</v>
      </c>
      <c r="E351" s="31"/>
      <c r="F351" s="163" t="s">
        <v>351</v>
      </c>
      <c r="G351" s="31"/>
      <c r="H351" s="31"/>
      <c r="I351" s="279"/>
      <c r="J351" s="31"/>
      <c r="K351" s="31"/>
      <c r="L351" s="32"/>
      <c r="M351" s="164"/>
      <c r="N351" s="165"/>
      <c r="O351" s="52"/>
      <c r="P351" s="52"/>
      <c r="Q351" s="52"/>
      <c r="R351" s="52"/>
      <c r="S351" s="52"/>
      <c r="T351" s="53"/>
      <c r="U351" s="31"/>
      <c r="V351" s="31"/>
      <c r="W351" s="31"/>
      <c r="X351" s="31"/>
      <c r="Y351" s="31"/>
      <c r="Z351" s="31"/>
      <c r="AA351" s="31"/>
      <c r="AB351" s="31"/>
      <c r="AC351" s="31"/>
      <c r="AD351" s="31"/>
      <c r="AE351" s="31"/>
      <c r="AT351" s="19" t="s">
        <v>149</v>
      </c>
      <c r="AU351" s="19" t="s">
        <v>82</v>
      </c>
    </row>
    <row r="352" spans="1:65" s="2" customFormat="1" ht="49.15" customHeight="1">
      <c r="A352" s="31"/>
      <c r="B352" s="136"/>
      <c r="C352" s="137">
        <v>54</v>
      </c>
      <c r="D352" s="137" t="s">
        <v>141</v>
      </c>
      <c r="E352" s="138" t="s">
        <v>352</v>
      </c>
      <c r="F352" s="139" t="s">
        <v>353</v>
      </c>
      <c r="G352" s="140" t="s">
        <v>308</v>
      </c>
      <c r="H352" s="141">
        <f>H350</f>
        <v>0</v>
      </c>
      <c r="I352" s="278"/>
      <c r="J352" s="142">
        <f>ROUND(I352*H352,2)</f>
        <v>0</v>
      </c>
      <c r="K352" s="139" t="s">
        <v>148</v>
      </c>
      <c r="L352" s="32"/>
      <c r="M352" s="143" t="s">
        <v>3</v>
      </c>
      <c r="N352" s="144" t="s">
        <v>43</v>
      </c>
      <c r="O352" s="145">
        <v>0</v>
      </c>
      <c r="P352" s="145">
        <f>O352*H352</f>
        <v>0</v>
      </c>
      <c r="Q352" s="145">
        <v>0</v>
      </c>
      <c r="R352" s="145">
        <f>Q352*H352</f>
        <v>0</v>
      </c>
      <c r="S352" s="145">
        <v>0</v>
      </c>
      <c r="T352" s="146">
        <f>S352*H352</f>
        <v>0</v>
      </c>
      <c r="U352" s="31"/>
      <c r="V352" s="31"/>
      <c r="W352" s="31"/>
      <c r="X352" s="31"/>
      <c r="Y352" s="31"/>
      <c r="Z352" s="31"/>
      <c r="AA352" s="31"/>
      <c r="AB352" s="31"/>
      <c r="AC352" s="31"/>
      <c r="AD352" s="31"/>
      <c r="AE352" s="31"/>
      <c r="AR352" s="147" t="s">
        <v>200</v>
      </c>
      <c r="AT352" s="147" t="s">
        <v>141</v>
      </c>
      <c r="AU352" s="147" t="s">
        <v>82</v>
      </c>
      <c r="AY352" s="19" t="s">
        <v>138</v>
      </c>
      <c r="BE352" s="148">
        <f>IF(N352="základní",J352,0)</f>
        <v>0</v>
      </c>
      <c r="BF352" s="148">
        <f>IF(N352="snížená",J352,0)</f>
        <v>0</v>
      </c>
      <c r="BG352" s="148">
        <f>IF(N352="zákl. přenesená",J352,0)</f>
        <v>0</v>
      </c>
      <c r="BH352" s="148">
        <f>IF(N352="sníž. přenesená",J352,0)</f>
        <v>0</v>
      </c>
      <c r="BI352" s="148">
        <f>IF(N352="nulová",J352,0)</f>
        <v>0</v>
      </c>
      <c r="BJ352" s="19" t="s">
        <v>80</v>
      </c>
      <c r="BK352" s="148">
        <f>ROUND(I352*H352,2)</f>
        <v>0</v>
      </c>
      <c r="BL352" s="19" t="s">
        <v>200</v>
      </c>
      <c r="BM352" s="147" t="s">
        <v>354</v>
      </c>
    </row>
    <row r="353" spans="1:65" s="2" customFormat="1" ht="126.75">
      <c r="A353" s="31"/>
      <c r="B353" s="32"/>
      <c r="C353" s="31"/>
      <c r="D353" s="150" t="s">
        <v>149</v>
      </c>
      <c r="E353" s="31"/>
      <c r="F353" s="163" t="s">
        <v>351</v>
      </c>
      <c r="G353" s="31"/>
      <c r="H353" s="31"/>
      <c r="I353" s="279"/>
      <c r="J353" s="31"/>
      <c r="K353" s="31"/>
      <c r="L353" s="32"/>
      <c r="M353" s="164"/>
      <c r="N353" s="165"/>
      <c r="O353" s="52"/>
      <c r="P353" s="52"/>
      <c r="Q353" s="52"/>
      <c r="R353" s="52"/>
      <c r="S353" s="52"/>
      <c r="T353" s="53"/>
      <c r="U353" s="31"/>
      <c r="V353" s="31"/>
      <c r="W353" s="31"/>
      <c r="X353" s="31"/>
      <c r="Y353" s="31"/>
      <c r="Z353" s="31"/>
      <c r="AA353" s="31"/>
      <c r="AB353" s="31"/>
      <c r="AC353" s="31"/>
      <c r="AD353" s="31"/>
      <c r="AE353" s="31"/>
      <c r="AT353" s="19" t="s">
        <v>149</v>
      </c>
      <c r="AU353" s="19" t="s">
        <v>82</v>
      </c>
    </row>
    <row r="354" spans="1:65" s="12" customFormat="1" ht="22.9" customHeight="1">
      <c r="B354" s="124"/>
      <c r="D354" s="125" t="s">
        <v>71</v>
      </c>
      <c r="E354" s="134" t="s">
        <v>355</v>
      </c>
      <c r="F354" s="134" t="s">
        <v>356</v>
      </c>
      <c r="I354" s="285"/>
      <c r="J354" s="135">
        <f>BK354</f>
        <v>0</v>
      </c>
      <c r="L354" s="124"/>
      <c r="M354" s="128"/>
      <c r="N354" s="129"/>
      <c r="O354" s="129"/>
      <c r="P354" s="130">
        <f>SUM(P355:P417)</f>
        <v>96.585459999999998</v>
      </c>
      <c r="Q354" s="129"/>
      <c r="R354" s="130">
        <f>SUM(R355:R417)</f>
        <v>1.9994492800000003</v>
      </c>
      <c r="S354" s="129"/>
      <c r="T354" s="131">
        <f>SUM(T355:T417)</f>
        <v>0</v>
      </c>
      <c r="AR354" s="125" t="s">
        <v>82</v>
      </c>
      <c r="AT354" s="132" t="s">
        <v>71</v>
      </c>
      <c r="AU354" s="132" t="s">
        <v>80</v>
      </c>
      <c r="AY354" s="125" t="s">
        <v>138</v>
      </c>
      <c r="BK354" s="133">
        <f>SUM(BK355:BK417)</f>
        <v>0</v>
      </c>
    </row>
    <row r="355" spans="1:65" s="2" customFormat="1" ht="24.2" customHeight="1">
      <c r="A355" s="31"/>
      <c r="B355" s="136"/>
      <c r="C355" s="137">
        <v>55</v>
      </c>
      <c r="D355" s="137" t="s">
        <v>141</v>
      </c>
      <c r="E355" s="138" t="s">
        <v>357</v>
      </c>
      <c r="F355" s="139" t="s">
        <v>358</v>
      </c>
      <c r="G355" s="140" t="s">
        <v>173</v>
      </c>
      <c r="H355" s="141">
        <f>H362</f>
        <v>47.5</v>
      </c>
      <c r="I355" s="278"/>
      <c r="J355" s="142">
        <f>ROUND(I355*H355,2)</f>
        <v>0</v>
      </c>
      <c r="K355" s="139" t="s">
        <v>148</v>
      </c>
      <c r="L355" s="32"/>
      <c r="M355" s="143" t="s">
        <v>3</v>
      </c>
      <c r="N355" s="144" t="s">
        <v>43</v>
      </c>
      <c r="O355" s="145">
        <v>2.4E-2</v>
      </c>
      <c r="P355" s="145">
        <f>O355*H355</f>
        <v>1.1400000000000001</v>
      </c>
      <c r="Q355" s="145">
        <v>0</v>
      </c>
      <c r="R355" s="145">
        <f>Q355*H355</f>
        <v>0</v>
      </c>
      <c r="S355" s="145">
        <v>0</v>
      </c>
      <c r="T355" s="146">
        <f>S355*H355</f>
        <v>0</v>
      </c>
      <c r="U355" s="31"/>
      <c r="V355" s="31"/>
      <c r="W355" s="31"/>
      <c r="X355" s="31"/>
      <c r="Y355" s="31"/>
      <c r="Z355" s="31"/>
      <c r="AA355" s="31"/>
      <c r="AB355" s="31"/>
      <c r="AC355" s="31"/>
      <c r="AD355" s="31"/>
      <c r="AE355" s="31"/>
      <c r="AR355" s="147" t="s">
        <v>200</v>
      </c>
      <c r="AT355" s="147" t="s">
        <v>141</v>
      </c>
      <c r="AU355" s="147" t="s">
        <v>82</v>
      </c>
      <c r="AY355" s="19" t="s">
        <v>138</v>
      </c>
      <c r="BE355" s="148">
        <f>IF(N355="základní",J355,0)</f>
        <v>0</v>
      </c>
      <c r="BF355" s="148">
        <f>IF(N355="snížená",J355,0)</f>
        <v>0</v>
      </c>
      <c r="BG355" s="148">
        <f>IF(N355="zákl. přenesená",J355,0)</f>
        <v>0</v>
      </c>
      <c r="BH355" s="148">
        <f>IF(N355="sníž. přenesená",J355,0)</f>
        <v>0</v>
      </c>
      <c r="BI355" s="148">
        <f>IF(N355="nulová",J355,0)</f>
        <v>0</v>
      </c>
      <c r="BJ355" s="19" t="s">
        <v>80</v>
      </c>
      <c r="BK355" s="148">
        <f>ROUND(I355*H355,2)</f>
        <v>0</v>
      </c>
      <c r="BL355" s="19" t="s">
        <v>200</v>
      </c>
      <c r="BM355" s="147" t="s">
        <v>359</v>
      </c>
    </row>
    <row r="356" spans="1:65" s="2" customFormat="1" ht="78">
      <c r="A356" s="31"/>
      <c r="B356" s="32"/>
      <c r="C356" s="31"/>
      <c r="D356" s="150" t="s">
        <v>149</v>
      </c>
      <c r="E356" s="31"/>
      <c r="F356" s="163" t="s">
        <v>360</v>
      </c>
      <c r="G356" s="31"/>
      <c r="H356" s="31"/>
      <c r="I356" s="279"/>
      <c r="J356" s="31"/>
      <c r="K356" s="31"/>
      <c r="L356" s="32"/>
      <c r="M356" s="164"/>
      <c r="N356" s="165"/>
      <c r="O356" s="52"/>
      <c r="P356" s="52"/>
      <c r="Q356" s="52"/>
      <c r="R356" s="52"/>
      <c r="S356" s="52"/>
      <c r="T356" s="53"/>
      <c r="U356" s="31"/>
      <c r="V356" s="31"/>
      <c r="W356" s="31"/>
      <c r="X356" s="31"/>
      <c r="Y356" s="31"/>
      <c r="Z356" s="31"/>
      <c r="AA356" s="31"/>
      <c r="AB356" s="31"/>
      <c r="AC356" s="31"/>
      <c r="AD356" s="31"/>
      <c r="AE356" s="31"/>
      <c r="AT356" s="19" t="s">
        <v>149</v>
      </c>
      <c r="AU356" s="19" t="s">
        <v>82</v>
      </c>
    </row>
    <row r="357" spans="1:65" s="13" customFormat="1">
      <c r="B357" s="149"/>
      <c r="D357" s="150" t="s">
        <v>145</v>
      </c>
      <c r="E357" s="151" t="s">
        <v>3</v>
      </c>
      <c r="F357" s="152" t="s">
        <v>1499</v>
      </c>
      <c r="H357" s="151" t="s">
        <v>3</v>
      </c>
      <c r="I357" s="282"/>
      <c r="L357" s="149"/>
      <c r="M357" s="153"/>
      <c r="N357" s="154"/>
      <c r="O357" s="154"/>
      <c r="P357" s="154"/>
      <c r="Q357" s="154"/>
      <c r="R357" s="154"/>
      <c r="S357" s="154"/>
      <c r="T357" s="155"/>
      <c r="AT357" s="151" t="s">
        <v>145</v>
      </c>
      <c r="AU357" s="151" t="s">
        <v>82</v>
      </c>
      <c r="AV357" s="13" t="s">
        <v>80</v>
      </c>
      <c r="AW357" s="13" t="s">
        <v>34</v>
      </c>
      <c r="AX357" s="13" t="s">
        <v>72</v>
      </c>
      <c r="AY357" s="151" t="s">
        <v>138</v>
      </c>
    </row>
    <row r="358" spans="1:65" s="13" customFormat="1">
      <c r="B358" s="149"/>
      <c r="D358" s="150" t="s">
        <v>145</v>
      </c>
      <c r="E358" s="151" t="s">
        <v>3</v>
      </c>
      <c r="F358" s="152" t="s">
        <v>156</v>
      </c>
      <c r="H358" s="151" t="s">
        <v>3</v>
      </c>
      <c r="I358" s="282"/>
      <c r="L358" s="149"/>
      <c r="M358" s="153"/>
      <c r="N358" s="154"/>
      <c r="O358" s="154"/>
      <c r="P358" s="154"/>
      <c r="Q358" s="154"/>
      <c r="R358" s="154"/>
      <c r="S358" s="154"/>
      <c r="T358" s="155"/>
      <c r="AT358" s="151" t="s">
        <v>145</v>
      </c>
      <c r="AU358" s="151" t="s">
        <v>82</v>
      </c>
      <c r="AV358" s="13" t="s">
        <v>80</v>
      </c>
      <c r="AW358" s="13" t="s">
        <v>34</v>
      </c>
      <c r="AX358" s="13" t="s">
        <v>72</v>
      </c>
      <c r="AY358" s="151" t="s">
        <v>138</v>
      </c>
    </row>
    <row r="359" spans="1:65" s="14" customFormat="1">
      <c r="B359" s="156"/>
      <c r="D359" s="150" t="s">
        <v>145</v>
      </c>
      <c r="E359" s="157" t="s">
        <v>3</v>
      </c>
      <c r="F359" s="158" t="s">
        <v>1500</v>
      </c>
      <c r="H359" s="159">
        <f>1.93+2.83+3.5+1.1+11.36+3.28+1.64+1.64</f>
        <v>27.28</v>
      </c>
      <c r="I359" s="280"/>
      <c r="L359" s="156"/>
      <c r="M359" s="160"/>
      <c r="N359" s="161"/>
      <c r="O359" s="161"/>
      <c r="P359" s="161"/>
      <c r="Q359" s="161"/>
      <c r="R359" s="161"/>
      <c r="S359" s="161"/>
      <c r="T359" s="162"/>
      <c r="AT359" s="157" t="s">
        <v>145</v>
      </c>
      <c r="AU359" s="157" t="s">
        <v>82</v>
      </c>
      <c r="AV359" s="14" t="s">
        <v>82</v>
      </c>
      <c r="AW359" s="14" t="s">
        <v>34</v>
      </c>
      <c r="AX359" s="14" t="s">
        <v>72</v>
      </c>
      <c r="AY359" s="157" t="s">
        <v>138</v>
      </c>
    </row>
    <row r="360" spans="1:65" s="13" customFormat="1">
      <c r="B360" s="149"/>
      <c r="D360" s="150" t="s">
        <v>145</v>
      </c>
      <c r="E360" s="151" t="s">
        <v>3</v>
      </c>
      <c r="F360" s="152" t="s">
        <v>157</v>
      </c>
      <c r="H360" s="151" t="s">
        <v>3</v>
      </c>
      <c r="I360" s="282"/>
      <c r="L360" s="149"/>
      <c r="M360" s="153"/>
      <c r="N360" s="154"/>
      <c r="O360" s="154"/>
      <c r="P360" s="154"/>
      <c r="Q360" s="154"/>
      <c r="R360" s="154"/>
      <c r="S360" s="154"/>
      <c r="T360" s="155"/>
      <c r="AT360" s="151" t="s">
        <v>145</v>
      </c>
      <c r="AU360" s="151" t="s">
        <v>82</v>
      </c>
      <c r="AV360" s="13" t="s">
        <v>80</v>
      </c>
      <c r="AW360" s="13" t="s">
        <v>34</v>
      </c>
      <c r="AX360" s="13" t="s">
        <v>72</v>
      </c>
      <c r="AY360" s="151" t="s">
        <v>138</v>
      </c>
    </row>
    <row r="361" spans="1:65" s="14" customFormat="1">
      <c r="B361" s="156"/>
      <c r="D361" s="150" t="s">
        <v>145</v>
      </c>
      <c r="E361" s="157" t="s">
        <v>3</v>
      </c>
      <c r="F361" s="158" t="s">
        <v>1501</v>
      </c>
      <c r="H361" s="159">
        <f>10.36+2.34+1.87+2+3.65</f>
        <v>20.22</v>
      </c>
      <c r="I361" s="280"/>
      <c r="L361" s="156"/>
      <c r="M361" s="160"/>
      <c r="N361" s="161"/>
      <c r="O361" s="161"/>
      <c r="P361" s="161"/>
      <c r="Q361" s="161"/>
      <c r="R361" s="161"/>
      <c r="S361" s="161"/>
      <c r="T361" s="162"/>
      <c r="AT361" s="157" t="s">
        <v>145</v>
      </c>
      <c r="AU361" s="157" t="s">
        <v>82</v>
      </c>
      <c r="AV361" s="14" t="s">
        <v>82</v>
      </c>
      <c r="AW361" s="14" t="s">
        <v>34</v>
      </c>
      <c r="AX361" s="14" t="s">
        <v>72</v>
      </c>
      <c r="AY361" s="157" t="s">
        <v>138</v>
      </c>
    </row>
    <row r="362" spans="1:65" s="15" customFormat="1">
      <c r="B362" s="166"/>
      <c r="D362" s="150" t="s">
        <v>145</v>
      </c>
      <c r="E362" s="167" t="s">
        <v>3</v>
      </c>
      <c r="F362" s="168" t="s">
        <v>151</v>
      </c>
      <c r="H362" s="169">
        <f>H359+H361</f>
        <v>47.5</v>
      </c>
      <c r="I362" s="284"/>
      <c r="L362" s="166"/>
      <c r="M362" s="170"/>
      <c r="N362" s="171"/>
      <c r="O362" s="171"/>
      <c r="P362" s="171"/>
      <c r="Q362" s="171"/>
      <c r="R362" s="171"/>
      <c r="S362" s="171"/>
      <c r="T362" s="172"/>
      <c r="AT362" s="167" t="s">
        <v>145</v>
      </c>
      <c r="AU362" s="167" t="s">
        <v>82</v>
      </c>
      <c r="AV362" s="15" t="s">
        <v>144</v>
      </c>
      <c r="AW362" s="15" t="s">
        <v>34</v>
      </c>
      <c r="AX362" s="15" t="s">
        <v>80</v>
      </c>
      <c r="AY362" s="167" t="s">
        <v>138</v>
      </c>
    </row>
    <row r="363" spans="1:65" s="2" customFormat="1" ht="24.2" customHeight="1">
      <c r="A363" s="31"/>
      <c r="B363" s="136"/>
      <c r="C363" s="137">
        <v>56</v>
      </c>
      <c r="D363" s="137" t="s">
        <v>141</v>
      </c>
      <c r="E363" s="138" t="s">
        <v>361</v>
      </c>
      <c r="F363" s="139" t="s">
        <v>362</v>
      </c>
      <c r="G363" s="140" t="s">
        <v>173</v>
      </c>
      <c r="H363" s="141">
        <f>H355</f>
        <v>47.5</v>
      </c>
      <c r="I363" s="278"/>
      <c r="J363" s="142">
        <f>ROUND(I363*H363,2)</f>
        <v>0</v>
      </c>
      <c r="K363" s="139" t="s">
        <v>148</v>
      </c>
      <c r="L363" s="32"/>
      <c r="M363" s="143" t="s">
        <v>3</v>
      </c>
      <c r="N363" s="144" t="s">
        <v>43</v>
      </c>
      <c r="O363" s="145">
        <v>4.3999999999999997E-2</v>
      </c>
      <c r="P363" s="145">
        <f>O363*H363</f>
        <v>2.09</v>
      </c>
      <c r="Q363" s="145">
        <v>2.9999999999999997E-4</v>
      </c>
      <c r="R363" s="145">
        <f>Q363*H363</f>
        <v>1.4249999999999999E-2</v>
      </c>
      <c r="S363" s="145">
        <v>0</v>
      </c>
      <c r="T363" s="146">
        <f>S363*H363</f>
        <v>0</v>
      </c>
      <c r="U363" s="31"/>
      <c r="V363" s="31"/>
      <c r="W363" s="31"/>
      <c r="X363" s="31"/>
      <c r="Y363" s="31"/>
      <c r="Z363" s="31"/>
      <c r="AA363" s="31"/>
      <c r="AB363" s="31"/>
      <c r="AC363" s="31"/>
      <c r="AD363" s="31"/>
      <c r="AE363" s="31"/>
      <c r="AR363" s="147" t="s">
        <v>200</v>
      </c>
      <c r="AT363" s="147" t="s">
        <v>141</v>
      </c>
      <c r="AU363" s="147" t="s">
        <v>82</v>
      </c>
      <c r="AY363" s="19" t="s">
        <v>138</v>
      </c>
      <c r="BE363" s="148">
        <f>IF(N363="základní",J363,0)</f>
        <v>0</v>
      </c>
      <c r="BF363" s="148">
        <f>IF(N363="snížená",J363,0)</f>
        <v>0</v>
      </c>
      <c r="BG363" s="148">
        <f>IF(N363="zákl. přenesená",J363,0)</f>
        <v>0</v>
      </c>
      <c r="BH363" s="148">
        <f>IF(N363="sníž. přenesená",J363,0)</f>
        <v>0</v>
      </c>
      <c r="BI363" s="148">
        <f>IF(N363="nulová",J363,0)</f>
        <v>0</v>
      </c>
      <c r="BJ363" s="19" t="s">
        <v>80</v>
      </c>
      <c r="BK363" s="148">
        <f>ROUND(I363*H363,2)</f>
        <v>0</v>
      </c>
      <c r="BL363" s="19" t="s">
        <v>200</v>
      </c>
      <c r="BM363" s="147" t="s">
        <v>363</v>
      </c>
    </row>
    <row r="364" spans="1:65" s="2" customFormat="1" ht="78">
      <c r="A364" s="31"/>
      <c r="B364" s="32"/>
      <c r="C364" s="31"/>
      <c r="D364" s="150" t="s">
        <v>149</v>
      </c>
      <c r="E364" s="31"/>
      <c r="F364" s="163" t="s">
        <v>360</v>
      </c>
      <c r="G364" s="31"/>
      <c r="H364" s="31"/>
      <c r="I364" s="279"/>
      <c r="J364" s="31"/>
      <c r="K364" s="31"/>
      <c r="L364" s="32"/>
      <c r="M364" s="164"/>
      <c r="N364" s="165"/>
      <c r="O364" s="52"/>
      <c r="P364" s="52"/>
      <c r="Q364" s="52"/>
      <c r="R364" s="52"/>
      <c r="S364" s="52"/>
      <c r="T364" s="53"/>
      <c r="U364" s="31"/>
      <c r="V364" s="31"/>
      <c r="W364" s="31"/>
      <c r="X364" s="31"/>
      <c r="Y364" s="31"/>
      <c r="Z364" s="31"/>
      <c r="AA364" s="31"/>
      <c r="AB364" s="31"/>
      <c r="AC364" s="31"/>
      <c r="AD364" s="31"/>
      <c r="AE364" s="31"/>
      <c r="AT364" s="19" t="s">
        <v>149</v>
      </c>
      <c r="AU364" s="19" t="s">
        <v>82</v>
      </c>
    </row>
    <row r="365" spans="1:65" s="2" customFormat="1" ht="24.2" customHeight="1">
      <c r="A365" s="31"/>
      <c r="B365" s="136"/>
      <c r="C365" s="137">
        <v>57</v>
      </c>
      <c r="D365" s="137" t="s">
        <v>141</v>
      </c>
      <c r="E365" s="138" t="s">
        <v>364</v>
      </c>
      <c r="F365" s="139" t="s">
        <v>365</v>
      </c>
      <c r="G365" s="140" t="s">
        <v>187</v>
      </c>
      <c r="H365" s="141">
        <f>H368</f>
        <v>29.32</v>
      </c>
      <c r="I365" s="278"/>
      <c r="J365" s="142">
        <f>ROUND(I365*H365,2)</f>
        <v>0</v>
      </c>
      <c r="K365" s="139" t="s">
        <v>148</v>
      </c>
      <c r="L365" s="32"/>
      <c r="M365" s="143" t="s">
        <v>3</v>
      </c>
      <c r="N365" s="144" t="s">
        <v>43</v>
      </c>
      <c r="O365" s="145">
        <v>0.161</v>
      </c>
      <c r="P365" s="145">
        <f>O365*H365</f>
        <v>4.7205200000000005</v>
      </c>
      <c r="Q365" s="145">
        <v>2.9999999999999997E-4</v>
      </c>
      <c r="R365" s="145">
        <f>Q365*H365</f>
        <v>8.796E-3</v>
      </c>
      <c r="S365" s="145">
        <v>0</v>
      </c>
      <c r="T365" s="146">
        <f>S365*H365</f>
        <v>0</v>
      </c>
      <c r="U365" s="31"/>
      <c r="V365" s="31"/>
      <c r="W365" s="31"/>
      <c r="X365" s="31"/>
      <c r="Y365" s="31"/>
      <c r="Z365" s="31"/>
      <c r="AA365" s="31"/>
      <c r="AB365" s="31"/>
      <c r="AC365" s="31"/>
      <c r="AD365" s="31"/>
      <c r="AE365" s="31"/>
      <c r="AR365" s="147" t="s">
        <v>200</v>
      </c>
      <c r="AT365" s="147" t="s">
        <v>141</v>
      </c>
      <c r="AU365" s="147" t="s">
        <v>82</v>
      </c>
      <c r="AY365" s="19" t="s">
        <v>138</v>
      </c>
      <c r="BE365" s="148">
        <f>IF(N365="základní",J365,0)</f>
        <v>0</v>
      </c>
      <c r="BF365" s="148">
        <f>IF(N365="snížená",J365,0)</f>
        <v>0</v>
      </c>
      <c r="BG365" s="148">
        <f>IF(N365="zákl. přenesená",J365,0)</f>
        <v>0</v>
      </c>
      <c r="BH365" s="148">
        <f>IF(N365="sníž. přenesená",J365,0)</f>
        <v>0</v>
      </c>
      <c r="BI365" s="148">
        <f>IF(N365="nulová",J365,0)</f>
        <v>0</v>
      </c>
      <c r="BJ365" s="19" t="s">
        <v>80</v>
      </c>
      <c r="BK365" s="148">
        <f>ROUND(I365*H365,2)</f>
        <v>0</v>
      </c>
      <c r="BL365" s="19" t="s">
        <v>200</v>
      </c>
      <c r="BM365" s="147" t="s">
        <v>366</v>
      </c>
    </row>
    <row r="366" spans="1:65" s="13" customFormat="1">
      <c r="B366" s="149"/>
      <c r="D366" s="150" t="s">
        <v>145</v>
      </c>
      <c r="E366" s="151" t="s">
        <v>3</v>
      </c>
      <c r="F366" s="152" t="s">
        <v>218</v>
      </c>
      <c r="H366" s="151" t="s">
        <v>3</v>
      </c>
      <c r="I366" s="282"/>
      <c r="L366" s="149"/>
      <c r="M366" s="153"/>
      <c r="N366" s="154"/>
      <c r="O366" s="154"/>
      <c r="P366" s="154"/>
      <c r="Q366" s="154"/>
      <c r="R366" s="154"/>
      <c r="S366" s="154"/>
      <c r="T366" s="155"/>
      <c r="AT366" s="151" t="s">
        <v>145</v>
      </c>
      <c r="AU366" s="151" t="s">
        <v>82</v>
      </c>
      <c r="AV366" s="13" t="s">
        <v>80</v>
      </c>
      <c r="AW366" s="13" t="s">
        <v>34</v>
      </c>
      <c r="AX366" s="13" t="s">
        <v>72</v>
      </c>
      <c r="AY366" s="151" t="s">
        <v>138</v>
      </c>
    </row>
    <row r="367" spans="1:65" s="13" customFormat="1">
      <c r="B367" s="149"/>
      <c r="D367" s="150" t="s">
        <v>145</v>
      </c>
      <c r="E367" s="151" t="s">
        <v>3</v>
      </c>
      <c r="F367" s="152" t="s">
        <v>156</v>
      </c>
      <c r="H367" s="151" t="s">
        <v>3</v>
      </c>
      <c r="I367" s="282"/>
      <c r="L367" s="149"/>
      <c r="M367" s="153"/>
      <c r="N367" s="154"/>
      <c r="O367" s="154"/>
      <c r="P367" s="154"/>
      <c r="Q367" s="154"/>
      <c r="R367" s="154"/>
      <c r="S367" s="154"/>
      <c r="T367" s="155"/>
      <c r="AT367" s="151" t="s">
        <v>145</v>
      </c>
      <c r="AU367" s="151" t="s">
        <v>82</v>
      </c>
      <c r="AV367" s="13" t="s">
        <v>80</v>
      </c>
      <c r="AW367" s="13" t="s">
        <v>34</v>
      </c>
      <c r="AX367" s="13" t="s">
        <v>72</v>
      </c>
      <c r="AY367" s="151" t="s">
        <v>138</v>
      </c>
    </row>
    <row r="368" spans="1:65" s="14" customFormat="1">
      <c r="B368" s="156"/>
      <c r="D368" s="150" t="s">
        <v>145</v>
      </c>
      <c r="E368" s="157" t="s">
        <v>3</v>
      </c>
      <c r="F368" s="158" t="s">
        <v>1502</v>
      </c>
      <c r="H368" s="159">
        <f>5.82+23.5</f>
        <v>29.32</v>
      </c>
      <c r="I368" s="280"/>
      <c r="L368" s="156"/>
      <c r="M368" s="160"/>
      <c r="N368" s="161"/>
      <c r="O368" s="161"/>
      <c r="P368" s="161"/>
      <c r="Q368" s="161"/>
      <c r="R368" s="161"/>
      <c r="S368" s="161"/>
      <c r="T368" s="162"/>
      <c r="AT368" s="157" t="s">
        <v>145</v>
      </c>
      <c r="AU368" s="157" t="s">
        <v>82</v>
      </c>
      <c r="AV368" s="14" t="s">
        <v>82</v>
      </c>
      <c r="AW368" s="14" t="s">
        <v>34</v>
      </c>
      <c r="AX368" s="14" t="s">
        <v>72</v>
      </c>
      <c r="AY368" s="157" t="s">
        <v>138</v>
      </c>
    </row>
    <row r="369" spans="1:65" s="2" customFormat="1" ht="37.9" customHeight="1">
      <c r="A369" s="31"/>
      <c r="B369" s="136"/>
      <c r="C369" s="137">
        <v>58</v>
      </c>
      <c r="D369" s="137" t="s">
        <v>141</v>
      </c>
      <c r="E369" s="138" t="s">
        <v>367</v>
      </c>
      <c r="F369" s="139" t="s">
        <v>368</v>
      </c>
      <c r="G369" s="140" t="s">
        <v>173</v>
      </c>
      <c r="H369" s="141">
        <f>H372</f>
        <v>47.5</v>
      </c>
      <c r="I369" s="278"/>
      <c r="J369" s="142">
        <f>ROUND(I369*H369,2)</f>
        <v>0</v>
      </c>
      <c r="K369" s="139" t="s">
        <v>148</v>
      </c>
      <c r="L369" s="32"/>
      <c r="M369" s="143" t="s">
        <v>3</v>
      </c>
      <c r="N369" s="144" t="s">
        <v>43</v>
      </c>
      <c r="O369" s="145">
        <v>1.5</v>
      </c>
      <c r="P369" s="145">
        <f>O369*H369</f>
        <v>71.25</v>
      </c>
      <c r="Q369" s="145">
        <v>8.9999999999999993E-3</v>
      </c>
      <c r="R369" s="145">
        <f>Q369*H369</f>
        <v>0.42749999999999999</v>
      </c>
      <c r="S369" s="145">
        <v>0</v>
      </c>
      <c r="T369" s="146">
        <f>S369*H369</f>
        <v>0</v>
      </c>
      <c r="U369" s="31"/>
      <c r="V369" s="31"/>
      <c r="W369" s="31"/>
      <c r="X369" s="31"/>
      <c r="Y369" s="31"/>
      <c r="Z369" s="31"/>
      <c r="AA369" s="31"/>
      <c r="AB369" s="31"/>
      <c r="AC369" s="31"/>
      <c r="AD369" s="31"/>
      <c r="AE369" s="31"/>
      <c r="AR369" s="147" t="s">
        <v>200</v>
      </c>
      <c r="AT369" s="147" t="s">
        <v>141</v>
      </c>
      <c r="AU369" s="147" t="s">
        <v>82</v>
      </c>
      <c r="AY369" s="19" t="s">
        <v>138</v>
      </c>
      <c r="BE369" s="148">
        <f>IF(N369="základní",J369,0)</f>
        <v>0</v>
      </c>
      <c r="BF369" s="148">
        <f>IF(N369="snížená",J369,0)</f>
        <v>0</v>
      </c>
      <c r="BG369" s="148">
        <f>IF(N369="zákl. přenesená",J369,0)</f>
        <v>0</v>
      </c>
      <c r="BH369" s="148">
        <f>IF(N369="sníž. přenesená",J369,0)</f>
        <v>0</v>
      </c>
      <c r="BI369" s="148">
        <f>IF(N369="nulová",J369,0)</f>
        <v>0</v>
      </c>
      <c r="BJ369" s="19" t="s">
        <v>80</v>
      </c>
      <c r="BK369" s="148">
        <f>ROUND(I369*H369,2)</f>
        <v>0</v>
      </c>
      <c r="BL369" s="19" t="s">
        <v>200</v>
      </c>
      <c r="BM369" s="147" t="s">
        <v>369</v>
      </c>
    </row>
    <row r="370" spans="1:65" s="2" customFormat="1" ht="29.25">
      <c r="A370" s="31"/>
      <c r="B370" s="32"/>
      <c r="C370" s="31"/>
      <c r="D370" s="150" t="s">
        <v>149</v>
      </c>
      <c r="E370" s="31"/>
      <c r="F370" s="163" t="s">
        <v>370</v>
      </c>
      <c r="G370" s="31"/>
      <c r="H370" s="31"/>
      <c r="I370" s="279"/>
      <c r="J370" s="31"/>
      <c r="K370" s="31"/>
      <c r="L370" s="32"/>
      <c r="M370" s="164"/>
      <c r="N370" s="165"/>
      <c r="O370" s="52"/>
      <c r="P370" s="52"/>
      <c r="Q370" s="52"/>
      <c r="R370" s="52"/>
      <c r="S370" s="52"/>
      <c r="T370" s="53"/>
      <c r="U370" s="31"/>
      <c r="V370" s="31"/>
      <c r="W370" s="31"/>
      <c r="X370" s="31"/>
      <c r="Y370" s="31"/>
      <c r="Z370" s="31"/>
      <c r="AA370" s="31"/>
      <c r="AB370" s="31"/>
      <c r="AC370" s="31"/>
      <c r="AD370" s="31"/>
      <c r="AE370" s="31"/>
      <c r="AT370" s="19" t="s">
        <v>149</v>
      </c>
      <c r="AU370" s="19" t="s">
        <v>82</v>
      </c>
    </row>
    <row r="371" spans="1:65" s="13" customFormat="1">
      <c r="B371" s="149"/>
      <c r="D371" s="150" t="s">
        <v>145</v>
      </c>
      <c r="E371" s="151" t="s">
        <v>3</v>
      </c>
      <c r="F371" s="152" t="s">
        <v>198</v>
      </c>
      <c r="H371" s="151" t="s">
        <v>3</v>
      </c>
      <c r="I371" s="282"/>
      <c r="L371" s="149"/>
      <c r="M371" s="153"/>
      <c r="N371" s="154"/>
      <c r="O371" s="154"/>
      <c r="P371" s="154"/>
      <c r="Q371" s="154"/>
      <c r="R371" s="154"/>
      <c r="S371" s="154"/>
      <c r="T371" s="155"/>
      <c r="AT371" s="151" t="s">
        <v>145</v>
      </c>
      <c r="AU371" s="151" t="s">
        <v>82</v>
      </c>
      <c r="AV371" s="13" t="s">
        <v>80</v>
      </c>
      <c r="AW371" s="13" t="s">
        <v>34</v>
      </c>
      <c r="AX371" s="13" t="s">
        <v>72</v>
      </c>
      <c r="AY371" s="151" t="s">
        <v>138</v>
      </c>
    </row>
    <row r="372" spans="1:65" s="14" customFormat="1">
      <c r="B372" s="156"/>
      <c r="D372" s="150" t="s">
        <v>145</v>
      </c>
      <c r="E372" s="157" t="s">
        <v>3</v>
      </c>
      <c r="F372" s="300">
        <f>H355</f>
        <v>47.5</v>
      </c>
      <c r="H372" s="159">
        <f>H355</f>
        <v>47.5</v>
      </c>
      <c r="I372" s="280"/>
      <c r="L372" s="156"/>
      <c r="M372" s="160"/>
      <c r="N372" s="161"/>
      <c r="O372" s="161"/>
      <c r="P372" s="161"/>
      <c r="Q372" s="161"/>
      <c r="R372" s="161"/>
      <c r="S372" s="161"/>
      <c r="T372" s="162"/>
      <c r="AT372" s="157" t="s">
        <v>145</v>
      </c>
      <c r="AU372" s="157" t="s">
        <v>82</v>
      </c>
      <c r="AV372" s="14" t="s">
        <v>82</v>
      </c>
      <c r="AW372" s="14" t="s">
        <v>34</v>
      </c>
      <c r="AX372" s="14" t="s">
        <v>80</v>
      </c>
      <c r="AY372" s="157" t="s">
        <v>138</v>
      </c>
    </row>
    <row r="373" spans="1:65" s="2" customFormat="1" ht="37.9" customHeight="1">
      <c r="A373" s="31"/>
      <c r="B373" s="136"/>
      <c r="C373" s="173">
        <v>59</v>
      </c>
      <c r="D373" s="173" t="s">
        <v>164</v>
      </c>
      <c r="E373" s="174" t="s">
        <v>371</v>
      </c>
      <c r="F373" s="175" t="s">
        <v>1503</v>
      </c>
      <c r="G373" s="176" t="s">
        <v>173</v>
      </c>
      <c r="H373" s="177">
        <f>H374</f>
        <v>59.375</v>
      </c>
      <c r="I373" s="281"/>
      <c r="J373" s="178">
        <f>ROUND(I373*H373,2)</f>
        <v>0</v>
      </c>
      <c r="K373" s="175" t="s">
        <v>143</v>
      </c>
      <c r="L373" s="179"/>
      <c r="M373" s="180" t="s">
        <v>3</v>
      </c>
      <c r="N373" s="181" t="s">
        <v>43</v>
      </c>
      <c r="O373" s="145">
        <v>0</v>
      </c>
      <c r="P373" s="145">
        <f>O373*H373</f>
        <v>0</v>
      </c>
      <c r="Q373" s="145">
        <v>2.5000000000000001E-2</v>
      </c>
      <c r="R373" s="145">
        <f>Q373*H373</f>
        <v>1.484375</v>
      </c>
      <c r="S373" s="145">
        <v>0</v>
      </c>
      <c r="T373" s="146">
        <f>S373*H373</f>
        <v>0</v>
      </c>
      <c r="U373" s="31"/>
      <c r="V373" s="31"/>
      <c r="W373" s="31"/>
      <c r="X373" s="31"/>
      <c r="Y373" s="31"/>
      <c r="Z373" s="31"/>
      <c r="AA373" s="31"/>
      <c r="AB373" s="31"/>
      <c r="AC373" s="31"/>
      <c r="AD373" s="31"/>
      <c r="AE373" s="31"/>
      <c r="AR373" s="147" t="s">
        <v>224</v>
      </c>
      <c r="AT373" s="147" t="s">
        <v>164</v>
      </c>
      <c r="AU373" s="147" t="s">
        <v>82</v>
      </c>
      <c r="AY373" s="19" t="s">
        <v>138</v>
      </c>
      <c r="BE373" s="148">
        <f>IF(N373="základní",J373,0)</f>
        <v>0</v>
      </c>
      <c r="BF373" s="148">
        <f>IF(N373="snížená",J373,0)</f>
        <v>0</v>
      </c>
      <c r="BG373" s="148">
        <f>IF(N373="zákl. přenesená",J373,0)</f>
        <v>0</v>
      </c>
      <c r="BH373" s="148">
        <f>IF(N373="sníž. přenesená",J373,0)</f>
        <v>0</v>
      </c>
      <c r="BI373" s="148">
        <f>IF(N373="nulová",J373,0)</f>
        <v>0</v>
      </c>
      <c r="BJ373" s="19" t="s">
        <v>80</v>
      </c>
      <c r="BK373" s="148">
        <f>ROUND(I373*H373,2)</f>
        <v>0</v>
      </c>
      <c r="BL373" s="19" t="s">
        <v>200</v>
      </c>
      <c r="BM373" s="147" t="s">
        <v>372</v>
      </c>
    </row>
    <row r="374" spans="1:65" s="14" customFormat="1">
      <c r="B374" s="156"/>
      <c r="D374" s="150" t="s">
        <v>145</v>
      </c>
      <c r="F374" s="158" t="s">
        <v>1504</v>
      </c>
      <c r="H374" s="159">
        <f>H369*1.25</f>
        <v>59.375</v>
      </c>
      <c r="I374" s="280"/>
      <c r="L374" s="156"/>
      <c r="M374" s="160"/>
      <c r="N374" s="161"/>
      <c r="O374" s="161"/>
      <c r="P374" s="161"/>
      <c r="Q374" s="161"/>
      <c r="R374" s="161"/>
      <c r="S374" s="161"/>
      <c r="T374" s="162"/>
      <c r="AT374" s="157" t="s">
        <v>145</v>
      </c>
      <c r="AU374" s="157" t="s">
        <v>82</v>
      </c>
      <c r="AV374" s="14" t="s">
        <v>82</v>
      </c>
      <c r="AW374" s="14" t="s">
        <v>4</v>
      </c>
      <c r="AX374" s="14" t="s">
        <v>80</v>
      </c>
      <c r="AY374" s="157" t="s">
        <v>138</v>
      </c>
    </row>
    <row r="375" spans="1:65" s="2" customFormat="1" ht="37.9" customHeight="1">
      <c r="A375" s="31"/>
      <c r="B375" s="136"/>
      <c r="C375" s="137">
        <v>60</v>
      </c>
      <c r="D375" s="137" t="s">
        <v>141</v>
      </c>
      <c r="E375" s="138" t="s">
        <v>373</v>
      </c>
      <c r="F375" s="139" t="s">
        <v>374</v>
      </c>
      <c r="G375" s="140" t="s">
        <v>173</v>
      </c>
      <c r="H375" s="141">
        <f>H382</f>
        <v>25.78</v>
      </c>
      <c r="I375" s="278"/>
      <c r="J375" s="142">
        <f>ROUND(I375*H375,2)</f>
        <v>0</v>
      </c>
      <c r="K375" s="139" t="s">
        <v>148</v>
      </c>
      <c r="L375" s="32"/>
      <c r="M375" s="143" t="s">
        <v>3</v>
      </c>
      <c r="N375" s="144" t="s">
        <v>43</v>
      </c>
      <c r="O375" s="145">
        <v>0.03</v>
      </c>
      <c r="P375" s="145">
        <f>O375*H375</f>
        <v>0.77339999999999998</v>
      </c>
      <c r="Q375" s="145">
        <v>0</v>
      </c>
      <c r="R375" s="145">
        <f>Q375*H375</f>
        <v>0</v>
      </c>
      <c r="S375" s="145">
        <v>0</v>
      </c>
      <c r="T375" s="146">
        <f>S375*H375</f>
        <v>0</v>
      </c>
      <c r="U375" s="31"/>
      <c r="V375" s="31"/>
      <c r="W375" s="31"/>
      <c r="X375" s="31"/>
      <c r="Y375" s="31"/>
      <c r="Z375" s="31"/>
      <c r="AA375" s="31"/>
      <c r="AB375" s="31"/>
      <c r="AC375" s="31"/>
      <c r="AD375" s="31"/>
      <c r="AE375" s="31"/>
      <c r="AR375" s="147" t="s">
        <v>200</v>
      </c>
      <c r="AT375" s="147" t="s">
        <v>141</v>
      </c>
      <c r="AU375" s="147" t="s">
        <v>82</v>
      </c>
      <c r="AY375" s="19" t="s">
        <v>138</v>
      </c>
      <c r="BE375" s="148">
        <f>IF(N375="základní",J375,0)</f>
        <v>0</v>
      </c>
      <c r="BF375" s="148">
        <f>IF(N375="snížená",J375,0)</f>
        <v>0</v>
      </c>
      <c r="BG375" s="148">
        <f>IF(N375="zákl. přenesená",J375,0)</f>
        <v>0</v>
      </c>
      <c r="BH375" s="148">
        <f>IF(N375="sníž. přenesená",J375,0)</f>
        <v>0</v>
      </c>
      <c r="BI375" s="148">
        <f>IF(N375="nulová",J375,0)</f>
        <v>0</v>
      </c>
      <c r="BJ375" s="19" t="s">
        <v>80</v>
      </c>
      <c r="BK375" s="148">
        <f>ROUND(I375*H375,2)</f>
        <v>0</v>
      </c>
      <c r="BL375" s="19" t="s">
        <v>200</v>
      </c>
      <c r="BM375" s="147" t="s">
        <v>375</v>
      </c>
    </row>
    <row r="376" spans="1:65" s="2" customFormat="1" ht="29.25">
      <c r="A376" s="31"/>
      <c r="B376" s="32"/>
      <c r="C376" s="31"/>
      <c r="D376" s="150" t="s">
        <v>149</v>
      </c>
      <c r="E376" s="31"/>
      <c r="F376" s="163" t="s">
        <v>370</v>
      </c>
      <c r="G376" s="31"/>
      <c r="H376" s="31"/>
      <c r="I376" s="279"/>
      <c r="J376" s="31"/>
      <c r="K376" s="31"/>
      <c r="L376" s="32"/>
      <c r="M376" s="164"/>
      <c r="N376" s="165"/>
      <c r="O376" s="52"/>
      <c r="P376" s="52"/>
      <c r="Q376" s="52"/>
      <c r="R376" s="52"/>
      <c r="S376" s="52"/>
      <c r="T376" s="53"/>
      <c r="U376" s="31"/>
      <c r="V376" s="31"/>
      <c r="W376" s="31"/>
      <c r="X376" s="31"/>
      <c r="Y376" s="31"/>
      <c r="Z376" s="31"/>
      <c r="AA376" s="31"/>
      <c r="AB376" s="31"/>
      <c r="AC376" s="31"/>
      <c r="AD376" s="31"/>
      <c r="AE376" s="31"/>
      <c r="AT376" s="19" t="s">
        <v>149</v>
      </c>
      <c r="AU376" s="19" t="s">
        <v>82</v>
      </c>
    </row>
    <row r="377" spans="1:65" s="13" customFormat="1">
      <c r="B377" s="149"/>
      <c r="D377" s="150" t="s">
        <v>145</v>
      </c>
      <c r="E377" s="151" t="s">
        <v>3</v>
      </c>
      <c r="F377" s="152" t="s">
        <v>218</v>
      </c>
      <c r="H377" s="151" t="s">
        <v>3</v>
      </c>
      <c r="I377" s="282"/>
      <c r="L377" s="149"/>
      <c r="M377" s="153"/>
      <c r="N377" s="154"/>
      <c r="O377" s="154"/>
      <c r="P377" s="154"/>
      <c r="Q377" s="154"/>
      <c r="R377" s="154"/>
      <c r="S377" s="154"/>
      <c r="T377" s="155"/>
      <c r="AT377" s="151" t="s">
        <v>145</v>
      </c>
      <c r="AU377" s="151" t="s">
        <v>82</v>
      </c>
      <c r="AV377" s="13" t="s">
        <v>80</v>
      </c>
      <c r="AW377" s="13" t="s">
        <v>34</v>
      </c>
      <c r="AX377" s="13" t="s">
        <v>72</v>
      </c>
      <c r="AY377" s="151" t="s">
        <v>138</v>
      </c>
    </row>
    <row r="378" spans="1:65" s="13" customFormat="1">
      <c r="B378" s="149"/>
      <c r="D378" s="150" t="s">
        <v>145</v>
      </c>
      <c r="E378" s="151" t="s">
        <v>3</v>
      </c>
      <c r="F378" s="152" t="s">
        <v>156</v>
      </c>
      <c r="H378" s="151" t="s">
        <v>3</v>
      </c>
      <c r="I378" s="282"/>
      <c r="L378" s="149"/>
      <c r="M378" s="153"/>
      <c r="N378" s="154"/>
      <c r="O378" s="154"/>
      <c r="P378" s="154"/>
      <c r="Q378" s="154"/>
      <c r="R378" s="154"/>
      <c r="S378" s="154"/>
      <c r="T378" s="155"/>
      <c r="AT378" s="151" t="s">
        <v>145</v>
      </c>
      <c r="AU378" s="151" t="s">
        <v>82</v>
      </c>
      <c r="AV378" s="13" t="s">
        <v>80</v>
      </c>
      <c r="AW378" s="13" t="s">
        <v>34</v>
      </c>
      <c r="AX378" s="13" t="s">
        <v>72</v>
      </c>
      <c r="AY378" s="151" t="s">
        <v>138</v>
      </c>
    </row>
    <row r="379" spans="1:65" s="14" customFormat="1">
      <c r="B379" s="156"/>
      <c r="D379" s="150" t="s">
        <v>145</v>
      </c>
      <c r="E379" s="157" t="s">
        <v>3</v>
      </c>
      <c r="F379" s="158" t="s">
        <v>1505</v>
      </c>
      <c r="H379" s="159">
        <f>1.93+2.83+3.5+1.1+3.28+1.64+1.64</f>
        <v>15.92</v>
      </c>
      <c r="I379" s="280"/>
      <c r="L379" s="156"/>
      <c r="M379" s="160"/>
      <c r="N379" s="161"/>
      <c r="O379" s="161"/>
      <c r="P379" s="161"/>
      <c r="Q379" s="161"/>
      <c r="R379" s="161"/>
      <c r="S379" s="161"/>
      <c r="T379" s="162"/>
      <c r="AT379" s="157" t="s">
        <v>145</v>
      </c>
      <c r="AU379" s="157" t="s">
        <v>82</v>
      </c>
      <c r="AV379" s="14" t="s">
        <v>82</v>
      </c>
      <c r="AW379" s="14" t="s">
        <v>34</v>
      </c>
      <c r="AX379" s="14" t="s">
        <v>72</v>
      </c>
      <c r="AY379" s="157" t="s">
        <v>138</v>
      </c>
    </row>
    <row r="380" spans="1:65" s="13" customFormat="1">
      <c r="B380" s="149"/>
      <c r="D380" s="150" t="s">
        <v>145</v>
      </c>
      <c r="E380" s="151" t="s">
        <v>3</v>
      </c>
      <c r="F380" s="152" t="s">
        <v>157</v>
      </c>
      <c r="H380" s="151" t="s">
        <v>3</v>
      </c>
      <c r="I380" s="282"/>
      <c r="L380" s="149"/>
      <c r="M380" s="153"/>
      <c r="N380" s="154"/>
      <c r="O380" s="154"/>
      <c r="P380" s="154"/>
      <c r="Q380" s="154"/>
      <c r="R380" s="154"/>
      <c r="S380" s="154"/>
      <c r="T380" s="155"/>
      <c r="AT380" s="151" t="s">
        <v>145</v>
      </c>
      <c r="AU380" s="151" t="s">
        <v>82</v>
      </c>
      <c r="AV380" s="13" t="s">
        <v>80</v>
      </c>
      <c r="AW380" s="13" t="s">
        <v>34</v>
      </c>
      <c r="AX380" s="13" t="s">
        <v>72</v>
      </c>
      <c r="AY380" s="151" t="s">
        <v>138</v>
      </c>
    </row>
    <row r="381" spans="1:65" s="14" customFormat="1">
      <c r="B381" s="156"/>
      <c r="D381" s="150" t="s">
        <v>145</v>
      </c>
      <c r="E381" s="157" t="s">
        <v>3</v>
      </c>
      <c r="F381" s="158" t="s">
        <v>1506</v>
      </c>
      <c r="H381" s="159">
        <f>2.34+1.87+2+3.65</f>
        <v>9.86</v>
      </c>
      <c r="I381" s="280"/>
      <c r="L381" s="156"/>
      <c r="M381" s="160"/>
      <c r="N381" s="161"/>
      <c r="O381" s="161"/>
      <c r="P381" s="161"/>
      <c r="Q381" s="161"/>
      <c r="R381" s="161"/>
      <c r="S381" s="161"/>
      <c r="T381" s="162"/>
      <c r="AT381" s="157" t="s">
        <v>145</v>
      </c>
      <c r="AU381" s="157" t="s">
        <v>82</v>
      </c>
      <c r="AV381" s="14" t="s">
        <v>82</v>
      </c>
      <c r="AW381" s="14" t="s">
        <v>34</v>
      </c>
      <c r="AX381" s="14" t="s">
        <v>72</v>
      </c>
      <c r="AY381" s="157" t="s">
        <v>138</v>
      </c>
    </row>
    <row r="382" spans="1:65" s="15" customFormat="1">
      <c r="B382" s="166"/>
      <c r="D382" s="150" t="s">
        <v>145</v>
      </c>
      <c r="E382" s="167" t="s">
        <v>3</v>
      </c>
      <c r="F382" s="168" t="s">
        <v>151</v>
      </c>
      <c r="H382" s="169">
        <f>H379+H381</f>
        <v>25.78</v>
      </c>
      <c r="I382" s="284"/>
      <c r="L382" s="166"/>
      <c r="M382" s="170"/>
      <c r="N382" s="171"/>
      <c r="O382" s="171"/>
      <c r="P382" s="171"/>
      <c r="Q382" s="171"/>
      <c r="R382" s="171"/>
      <c r="S382" s="171"/>
      <c r="T382" s="172"/>
      <c r="AT382" s="167" t="s">
        <v>145</v>
      </c>
      <c r="AU382" s="167" t="s">
        <v>82</v>
      </c>
      <c r="AV382" s="15" t="s">
        <v>144</v>
      </c>
      <c r="AW382" s="15" t="s">
        <v>34</v>
      </c>
      <c r="AX382" s="15" t="s">
        <v>80</v>
      </c>
      <c r="AY382" s="167" t="s">
        <v>138</v>
      </c>
    </row>
    <row r="383" spans="1:65" s="2" customFormat="1" ht="37.9" customHeight="1">
      <c r="A383" s="31"/>
      <c r="B383" s="136"/>
      <c r="C383" s="137">
        <v>61</v>
      </c>
      <c r="D383" s="137" t="s">
        <v>141</v>
      </c>
      <c r="E383" s="138" t="s">
        <v>376</v>
      </c>
      <c r="F383" s="139" t="s">
        <v>377</v>
      </c>
      <c r="G383" s="140" t="s">
        <v>173</v>
      </c>
      <c r="H383" s="141">
        <f>H355</f>
        <v>47.5</v>
      </c>
      <c r="I383" s="278"/>
      <c r="J383" s="142">
        <f>ROUND(I383*H383,2)</f>
        <v>0</v>
      </c>
      <c r="K383" s="139" t="s">
        <v>148</v>
      </c>
      <c r="L383" s="32"/>
      <c r="M383" s="143" t="s">
        <v>3</v>
      </c>
      <c r="N383" s="144" t="s">
        <v>43</v>
      </c>
      <c r="O383" s="145">
        <v>0.1</v>
      </c>
      <c r="P383" s="145">
        <f>O383*H383</f>
        <v>4.75</v>
      </c>
      <c r="Q383" s="145">
        <v>0</v>
      </c>
      <c r="R383" s="145">
        <f>Q383*H383</f>
        <v>0</v>
      </c>
      <c r="S383" s="145">
        <v>0</v>
      </c>
      <c r="T383" s="146">
        <f>S383*H383</f>
        <v>0</v>
      </c>
      <c r="U383" s="31"/>
      <c r="V383" s="31"/>
      <c r="W383" s="31"/>
      <c r="X383" s="31"/>
      <c r="Y383" s="31"/>
      <c r="Z383" s="31"/>
      <c r="AA383" s="31"/>
      <c r="AB383" s="31"/>
      <c r="AC383" s="31"/>
      <c r="AD383" s="31"/>
      <c r="AE383" s="31"/>
      <c r="AR383" s="147" t="s">
        <v>200</v>
      </c>
      <c r="AT383" s="147" t="s">
        <v>141</v>
      </c>
      <c r="AU383" s="147" t="s">
        <v>82</v>
      </c>
      <c r="AY383" s="19" t="s">
        <v>138</v>
      </c>
      <c r="BE383" s="148">
        <f>IF(N383="základní",J383,0)</f>
        <v>0</v>
      </c>
      <c r="BF383" s="148">
        <f>IF(N383="snížená",J383,0)</f>
        <v>0</v>
      </c>
      <c r="BG383" s="148">
        <f>IF(N383="zákl. přenesená",J383,0)</f>
        <v>0</v>
      </c>
      <c r="BH383" s="148">
        <f>IF(N383="sníž. přenesená",J383,0)</f>
        <v>0</v>
      </c>
      <c r="BI383" s="148">
        <f>IF(N383="nulová",J383,0)</f>
        <v>0</v>
      </c>
      <c r="BJ383" s="19" t="s">
        <v>80</v>
      </c>
      <c r="BK383" s="148">
        <f>ROUND(I383*H383,2)</f>
        <v>0</v>
      </c>
      <c r="BL383" s="19" t="s">
        <v>200</v>
      </c>
      <c r="BM383" s="147" t="s">
        <v>378</v>
      </c>
    </row>
    <row r="384" spans="1:65" s="2" customFormat="1" ht="29.25">
      <c r="A384" s="31"/>
      <c r="B384" s="32"/>
      <c r="C384" s="31"/>
      <c r="D384" s="150" t="s">
        <v>149</v>
      </c>
      <c r="E384" s="31"/>
      <c r="F384" s="163" t="s">
        <v>370</v>
      </c>
      <c r="G384" s="31"/>
      <c r="H384" s="31"/>
      <c r="I384" s="279"/>
      <c r="J384" s="31"/>
      <c r="K384" s="31"/>
      <c r="L384" s="32"/>
      <c r="M384" s="164"/>
      <c r="N384" s="165"/>
      <c r="O384" s="52"/>
      <c r="P384" s="52"/>
      <c r="Q384" s="52"/>
      <c r="R384" s="52"/>
      <c r="S384" s="52"/>
      <c r="T384" s="53"/>
      <c r="U384" s="31"/>
      <c r="V384" s="31"/>
      <c r="W384" s="31"/>
      <c r="X384" s="31"/>
      <c r="Y384" s="31"/>
      <c r="Z384" s="31"/>
      <c r="AA384" s="31"/>
      <c r="AB384" s="31"/>
      <c r="AC384" s="31"/>
      <c r="AD384" s="31"/>
      <c r="AE384" s="31"/>
      <c r="AT384" s="19" t="s">
        <v>149</v>
      </c>
      <c r="AU384" s="19" t="s">
        <v>82</v>
      </c>
    </row>
    <row r="385" spans="1:65" s="13" customFormat="1">
      <c r="B385" s="149"/>
      <c r="D385" s="150" t="s">
        <v>145</v>
      </c>
      <c r="E385" s="151" t="s">
        <v>3</v>
      </c>
      <c r="F385" s="152" t="s">
        <v>198</v>
      </c>
      <c r="H385" s="151" t="s">
        <v>3</v>
      </c>
      <c r="I385" s="282"/>
      <c r="L385" s="149"/>
      <c r="M385" s="153"/>
      <c r="N385" s="154"/>
      <c r="O385" s="154"/>
      <c r="P385" s="154"/>
      <c r="Q385" s="154"/>
      <c r="R385" s="154"/>
      <c r="S385" s="154"/>
      <c r="T385" s="155"/>
      <c r="AT385" s="151" t="s">
        <v>145</v>
      </c>
      <c r="AU385" s="151" t="s">
        <v>82</v>
      </c>
      <c r="AV385" s="13" t="s">
        <v>80</v>
      </c>
      <c r="AW385" s="13" t="s">
        <v>34</v>
      </c>
      <c r="AX385" s="13" t="s">
        <v>72</v>
      </c>
      <c r="AY385" s="151" t="s">
        <v>138</v>
      </c>
    </row>
    <row r="386" spans="1:65" s="2" customFormat="1" ht="24.2" customHeight="1">
      <c r="A386" s="31"/>
      <c r="B386" s="136"/>
      <c r="C386" s="137">
        <v>62</v>
      </c>
      <c r="D386" s="137" t="s">
        <v>141</v>
      </c>
      <c r="E386" s="138" t="s">
        <v>379</v>
      </c>
      <c r="F386" s="139" t="s">
        <v>380</v>
      </c>
      <c r="G386" s="140" t="s">
        <v>173</v>
      </c>
      <c r="H386" s="141">
        <f>H393</f>
        <v>23.85</v>
      </c>
      <c r="I386" s="278"/>
      <c r="J386" s="142">
        <f>ROUND(I386*H386,2)</f>
        <v>0</v>
      </c>
      <c r="K386" s="139" t="s">
        <v>148</v>
      </c>
      <c r="L386" s="32"/>
      <c r="M386" s="143" t="s">
        <v>3</v>
      </c>
      <c r="N386" s="144" t="s">
        <v>43</v>
      </c>
      <c r="O386" s="145">
        <v>0.27800000000000002</v>
      </c>
      <c r="P386" s="145">
        <f>O386*H386</f>
        <v>6.630300000000001</v>
      </c>
      <c r="Q386" s="145">
        <v>1.5E-3</v>
      </c>
      <c r="R386" s="145">
        <f>Q386*H386</f>
        <v>3.5775000000000001E-2</v>
      </c>
      <c r="S386" s="145">
        <v>0</v>
      </c>
      <c r="T386" s="146">
        <f>S386*H386</f>
        <v>0</v>
      </c>
      <c r="U386" s="31"/>
      <c r="V386" s="31"/>
      <c r="W386" s="31"/>
      <c r="X386" s="31"/>
      <c r="Y386" s="31"/>
      <c r="Z386" s="31"/>
      <c r="AA386" s="31"/>
      <c r="AB386" s="31"/>
      <c r="AC386" s="31"/>
      <c r="AD386" s="31"/>
      <c r="AE386" s="31"/>
      <c r="AR386" s="147" t="s">
        <v>200</v>
      </c>
      <c r="AT386" s="147" t="s">
        <v>141</v>
      </c>
      <c r="AU386" s="147" t="s">
        <v>82</v>
      </c>
      <c r="AY386" s="19" t="s">
        <v>138</v>
      </c>
      <c r="BE386" s="148">
        <f>IF(N386="základní",J386,0)</f>
        <v>0</v>
      </c>
      <c r="BF386" s="148">
        <f>IF(N386="snížená",J386,0)</f>
        <v>0</v>
      </c>
      <c r="BG386" s="148">
        <f>IF(N386="zákl. přenesená",J386,0)</f>
        <v>0</v>
      </c>
      <c r="BH386" s="148">
        <f>IF(N386="sníž. přenesená",J386,0)</f>
        <v>0</v>
      </c>
      <c r="BI386" s="148">
        <f>IF(N386="nulová",J386,0)</f>
        <v>0</v>
      </c>
      <c r="BJ386" s="19" t="s">
        <v>80</v>
      </c>
      <c r="BK386" s="148">
        <f>ROUND(I386*H386,2)</f>
        <v>0</v>
      </c>
      <c r="BL386" s="19" t="s">
        <v>200</v>
      </c>
      <c r="BM386" s="147" t="s">
        <v>381</v>
      </c>
    </row>
    <row r="387" spans="1:65" s="2" customFormat="1" ht="97.5">
      <c r="A387" s="31"/>
      <c r="B387" s="32"/>
      <c r="C387" s="31"/>
      <c r="D387" s="150" t="s">
        <v>149</v>
      </c>
      <c r="E387" s="31"/>
      <c r="F387" s="163" t="s">
        <v>382</v>
      </c>
      <c r="G387" s="31"/>
      <c r="H387" s="31"/>
      <c r="I387" s="279"/>
      <c r="J387" s="31"/>
      <c r="K387" s="31"/>
      <c r="L387" s="32"/>
      <c r="M387" s="164"/>
      <c r="N387" s="165"/>
      <c r="O387" s="52"/>
      <c r="P387" s="52"/>
      <c r="Q387" s="52"/>
      <c r="R387" s="52"/>
      <c r="S387" s="52"/>
      <c r="T387" s="53"/>
      <c r="U387" s="31"/>
      <c r="V387" s="31"/>
      <c r="W387" s="31"/>
      <c r="X387" s="31"/>
      <c r="Y387" s="31"/>
      <c r="Z387" s="31"/>
      <c r="AA387" s="31"/>
      <c r="AB387" s="31"/>
      <c r="AC387" s="31"/>
      <c r="AD387" s="31"/>
      <c r="AE387" s="31"/>
      <c r="AT387" s="19" t="s">
        <v>149</v>
      </c>
      <c r="AU387" s="19" t="s">
        <v>82</v>
      </c>
    </row>
    <row r="388" spans="1:65" s="13" customFormat="1">
      <c r="B388" s="149"/>
      <c r="D388" s="150" t="s">
        <v>145</v>
      </c>
      <c r="E388" s="151" t="s">
        <v>3</v>
      </c>
      <c r="F388" s="152" t="s">
        <v>218</v>
      </c>
      <c r="H388" s="151" t="s">
        <v>3</v>
      </c>
      <c r="I388" s="282"/>
      <c r="L388" s="149"/>
      <c r="M388" s="153"/>
      <c r="N388" s="154"/>
      <c r="O388" s="154"/>
      <c r="P388" s="154"/>
      <c r="Q388" s="154"/>
      <c r="R388" s="154"/>
      <c r="S388" s="154"/>
      <c r="T388" s="155"/>
      <c r="AT388" s="151" t="s">
        <v>145</v>
      </c>
      <c r="AU388" s="151" t="s">
        <v>82</v>
      </c>
      <c r="AV388" s="13" t="s">
        <v>80</v>
      </c>
      <c r="AW388" s="13" t="s">
        <v>34</v>
      </c>
      <c r="AX388" s="13" t="s">
        <v>72</v>
      </c>
      <c r="AY388" s="151" t="s">
        <v>138</v>
      </c>
    </row>
    <row r="389" spans="1:65" s="13" customFormat="1">
      <c r="B389" s="149"/>
      <c r="D389" s="150" t="s">
        <v>145</v>
      </c>
      <c r="E389" s="151" t="s">
        <v>3</v>
      </c>
      <c r="F389" s="152" t="s">
        <v>156</v>
      </c>
      <c r="H389" s="151" t="s">
        <v>3</v>
      </c>
      <c r="I389" s="282"/>
      <c r="L389" s="149"/>
      <c r="M389" s="153"/>
      <c r="N389" s="154"/>
      <c r="O389" s="154"/>
      <c r="P389" s="154"/>
      <c r="Q389" s="154"/>
      <c r="R389" s="154"/>
      <c r="S389" s="154"/>
      <c r="T389" s="155"/>
      <c r="AT389" s="151" t="s">
        <v>145</v>
      </c>
      <c r="AU389" s="151" t="s">
        <v>82</v>
      </c>
      <c r="AV389" s="13" t="s">
        <v>80</v>
      </c>
      <c r="AW389" s="13" t="s">
        <v>34</v>
      </c>
      <c r="AX389" s="13" t="s">
        <v>72</v>
      </c>
      <c r="AY389" s="151" t="s">
        <v>138</v>
      </c>
    </row>
    <row r="390" spans="1:65" s="14" customFormat="1">
      <c r="B390" s="156"/>
      <c r="D390" s="150" t="s">
        <v>145</v>
      </c>
      <c r="E390" s="157" t="s">
        <v>3</v>
      </c>
      <c r="F390" s="158" t="s">
        <v>1507</v>
      </c>
      <c r="H390" s="159">
        <f>2.83+3.5+1.1+3.28+1.64+1.64</f>
        <v>13.99</v>
      </c>
      <c r="I390" s="280"/>
      <c r="L390" s="156"/>
      <c r="M390" s="160"/>
      <c r="N390" s="161"/>
      <c r="O390" s="161"/>
      <c r="P390" s="161"/>
      <c r="Q390" s="161"/>
      <c r="R390" s="161"/>
      <c r="S390" s="161"/>
      <c r="T390" s="162"/>
      <c r="AT390" s="157" t="s">
        <v>145</v>
      </c>
      <c r="AU390" s="157" t="s">
        <v>82</v>
      </c>
      <c r="AV390" s="14" t="s">
        <v>82</v>
      </c>
      <c r="AW390" s="14" t="s">
        <v>34</v>
      </c>
      <c r="AX390" s="14" t="s">
        <v>72</v>
      </c>
      <c r="AY390" s="157" t="s">
        <v>138</v>
      </c>
    </row>
    <row r="391" spans="1:65" s="13" customFormat="1">
      <c r="B391" s="149"/>
      <c r="D391" s="150" t="s">
        <v>145</v>
      </c>
      <c r="E391" s="151" t="s">
        <v>3</v>
      </c>
      <c r="F391" s="152" t="s">
        <v>157</v>
      </c>
      <c r="H391" s="151" t="s">
        <v>3</v>
      </c>
      <c r="I391" s="282"/>
      <c r="L391" s="149"/>
      <c r="M391" s="153"/>
      <c r="N391" s="154"/>
      <c r="O391" s="154"/>
      <c r="P391" s="154"/>
      <c r="Q391" s="154"/>
      <c r="R391" s="154"/>
      <c r="S391" s="154"/>
      <c r="T391" s="155"/>
      <c r="AT391" s="151" t="s">
        <v>145</v>
      </c>
      <c r="AU391" s="151" t="s">
        <v>82</v>
      </c>
      <c r="AV391" s="13" t="s">
        <v>80</v>
      </c>
      <c r="AW391" s="13" t="s">
        <v>34</v>
      </c>
      <c r="AX391" s="13" t="s">
        <v>72</v>
      </c>
      <c r="AY391" s="151" t="s">
        <v>138</v>
      </c>
    </row>
    <row r="392" spans="1:65" s="14" customFormat="1">
      <c r="B392" s="156"/>
      <c r="D392" s="150" t="s">
        <v>145</v>
      </c>
      <c r="E392" s="157" t="s">
        <v>3</v>
      </c>
      <c r="F392" s="158" t="s">
        <v>1508</v>
      </c>
      <c r="H392" s="159">
        <f>2.34+1.87+2+3.65</f>
        <v>9.86</v>
      </c>
      <c r="I392" s="280"/>
      <c r="L392" s="156"/>
      <c r="M392" s="160"/>
      <c r="N392" s="161"/>
      <c r="O392" s="161"/>
      <c r="P392" s="161"/>
      <c r="Q392" s="161"/>
      <c r="R392" s="161"/>
      <c r="S392" s="161"/>
      <c r="T392" s="162"/>
      <c r="AT392" s="157" t="s">
        <v>145</v>
      </c>
      <c r="AU392" s="157" t="s">
        <v>82</v>
      </c>
      <c r="AV392" s="14" t="s">
        <v>82</v>
      </c>
      <c r="AW392" s="14" t="s">
        <v>34</v>
      </c>
      <c r="AX392" s="14" t="s">
        <v>72</v>
      </c>
      <c r="AY392" s="157" t="s">
        <v>138</v>
      </c>
    </row>
    <row r="393" spans="1:65" s="15" customFormat="1">
      <c r="B393" s="166"/>
      <c r="D393" s="150" t="s">
        <v>145</v>
      </c>
      <c r="E393" s="167" t="s">
        <v>3</v>
      </c>
      <c r="F393" s="168" t="s">
        <v>151</v>
      </c>
      <c r="H393" s="169">
        <f>H390+H392</f>
        <v>23.85</v>
      </c>
      <c r="I393" s="284"/>
      <c r="L393" s="166"/>
      <c r="M393" s="170"/>
      <c r="N393" s="171"/>
      <c r="O393" s="171"/>
      <c r="P393" s="171"/>
      <c r="Q393" s="171"/>
      <c r="R393" s="171"/>
      <c r="S393" s="171"/>
      <c r="T393" s="172"/>
      <c r="AT393" s="167" t="s">
        <v>145</v>
      </c>
      <c r="AU393" s="167" t="s">
        <v>82</v>
      </c>
      <c r="AV393" s="15" t="s">
        <v>144</v>
      </c>
      <c r="AW393" s="15" t="s">
        <v>34</v>
      </c>
      <c r="AX393" s="15" t="s">
        <v>80</v>
      </c>
      <c r="AY393" s="167" t="s">
        <v>138</v>
      </c>
    </row>
    <row r="394" spans="1:65" s="2" customFormat="1" ht="24.2" customHeight="1">
      <c r="A394" s="31"/>
      <c r="B394" s="136"/>
      <c r="C394" s="137">
        <v>63</v>
      </c>
      <c r="D394" s="137" t="s">
        <v>141</v>
      </c>
      <c r="E394" s="138" t="s">
        <v>383</v>
      </c>
      <c r="F394" s="139" t="s">
        <v>384</v>
      </c>
      <c r="G394" s="140" t="s">
        <v>147</v>
      </c>
      <c r="H394" s="141">
        <f>H401</f>
        <v>36</v>
      </c>
      <c r="I394" s="278"/>
      <c r="J394" s="142">
        <f>ROUND(I394*H394,2)</f>
        <v>0</v>
      </c>
      <c r="K394" s="139" t="s">
        <v>148</v>
      </c>
      <c r="L394" s="32"/>
      <c r="M394" s="143" t="s">
        <v>3</v>
      </c>
      <c r="N394" s="144" t="s">
        <v>43</v>
      </c>
      <c r="O394" s="145">
        <v>3.5000000000000003E-2</v>
      </c>
      <c r="P394" s="145">
        <f>O394*H394</f>
        <v>1.2600000000000002</v>
      </c>
      <c r="Q394" s="145">
        <v>2.1000000000000001E-4</v>
      </c>
      <c r="R394" s="145">
        <f>Q394*H394</f>
        <v>7.5600000000000007E-3</v>
      </c>
      <c r="S394" s="145">
        <v>0</v>
      </c>
      <c r="T394" s="146">
        <f>S394*H394</f>
        <v>0</v>
      </c>
      <c r="U394" s="31"/>
      <c r="V394" s="31"/>
      <c r="W394" s="31"/>
      <c r="X394" s="31"/>
      <c r="Y394" s="31"/>
      <c r="Z394" s="31"/>
      <c r="AA394" s="31"/>
      <c r="AB394" s="31"/>
      <c r="AC394" s="31"/>
      <c r="AD394" s="31"/>
      <c r="AE394" s="31"/>
      <c r="AR394" s="147" t="s">
        <v>200</v>
      </c>
      <c r="AT394" s="147" t="s">
        <v>141</v>
      </c>
      <c r="AU394" s="147" t="s">
        <v>82</v>
      </c>
      <c r="AY394" s="19" t="s">
        <v>138</v>
      </c>
      <c r="BE394" s="148">
        <f>IF(N394="základní",J394,0)</f>
        <v>0</v>
      </c>
      <c r="BF394" s="148">
        <f>IF(N394="snížená",J394,0)</f>
        <v>0</v>
      </c>
      <c r="BG394" s="148">
        <f>IF(N394="zákl. přenesená",J394,0)</f>
        <v>0</v>
      </c>
      <c r="BH394" s="148">
        <f>IF(N394="sníž. přenesená",J394,0)</f>
        <v>0</v>
      </c>
      <c r="BI394" s="148">
        <f>IF(N394="nulová",J394,0)</f>
        <v>0</v>
      </c>
      <c r="BJ394" s="19" t="s">
        <v>80</v>
      </c>
      <c r="BK394" s="148">
        <f>ROUND(I394*H394,2)</f>
        <v>0</v>
      </c>
      <c r="BL394" s="19" t="s">
        <v>200</v>
      </c>
      <c r="BM394" s="147" t="s">
        <v>385</v>
      </c>
    </row>
    <row r="395" spans="1:65" s="2" customFormat="1" ht="97.5">
      <c r="A395" s="31"/>
      <c r="B395" s="32"/>
      <c r="C395" s="31"/>
      <c r="D395" s="150" t="s">
        <v>149</v>
      </c>
      <c r="E395" s="31"/>
      <c r="F395" s="163" t="s">
        <v>382</v>
      </c>
      <c r="G395" s="31"/>
      <c r="H395" s="31"/>
      <c r="I395" s="279"/>
      <c r="J395" s="31"/>
      <c r="K395" s="31"/>
      <c r="L395" s="32"/>
      <c r="M395" s="164"/>
      <c r="N395" s="165"/>
      <c r="O395" s="52"/>
      <c r="P395" s="52"/>
      <c r="Q395" s="52"/>
      <c r="R395" s="52"/>
      <c r="S395" s="52"/>
      <c r="T395" s="53"/>
      <c r="U395" s="31"/>
      <c r="V395" s="31"/>
      <c r="W395" s="31"/>
      <c r="X395" s="31"/>
      <c r="Y395" s="31"/>
      <c r="Z395" s="31"/>
      <c r="AA395" s="31"/>
      <c r="AB395" s="31"/>
      <c r="AC395" s="31"/>
      <c r="AD395" s="31"/>
      <c r="AE395" s="31"/>
      <c r="AT395" s="19" t="s">
        <v>149</v>
      </c>
      <c r="AU395" s="19" t="s">
        <v>82</v>
      </c>
    </row>
    <row r="396" spans="1:65" s="13" customFormat="1">
      <c r="B396" s="149"/>
      <c r="D396" s="150" t="s">
        <v>145</v>
      </c>
      <c r="E396" s="151" t="s">
        <v>3</v>
      </c>
      <c r="F396" s="152" t="s">
        <v>218</v>
      </c>
      <c r="H396" s="151" t="s">
        <v>3</v>
      </c>
      <c r="I396" s="282"/>
      <c r="L396" s="149"/>
      <c r="M396" s="153"/>
      <c r="N396" s="154"/>
      <c r="O396" s="154"/>
      <c r="P396" s="154"/>
      <c r="Q396" s="154"/>
      <c r="R396" s="154"/>
      <c r="S396" s="154"/>
      <c r="T396" s="155"/>
      <c r="AT396" s="151" t="s">
        <v>145</v>
      </c>
      <c r="AU396" s="151" t="s">
        <v>82</v>
      </c>
      <c r="AV396" s="13" t="s">
        <v>80</v>
      </c>
      <c r="AW396" s="13" t="s">
        <v>34</v>
      </c>
      <c r="AX396" s="13" t="s">
        <v>72</v>
      </c>
      <c r="AY396" s="151" t="s">
        <v>138</v>
      </c>
    </row>
    <row r="397" spans="1:65" s="13" customFormat="1">
      <c r="B397" s="149"/>
      <c r="D397" s="150" t="s">
        <v>145</v>
      </c>
      <c r="E397" s="151" t="s">
        <v>3</v>
      </c>
      <c r="F397" s="152" t="s">
        <v>156</v>
      </c>
      <c r="H397" s="151" t="s">
        <v>3</v>
      </c>
      <c r="I397" s="282"/>
      <c r="L397" s="149"/>
      <c r="M397" s="153"/>
      <c r="N397" s="154"/>
      <c r="O397" s="154"/>
      <c r="P397" s="154"/>
      <c r="Q397" s="154"/>
      <c r="R397" s="154"/>
      <c r="S397" s="154"/>
      <c r="T397" s="155"/>
      <c r="AT397" s="151" t="s">
        <v>145</v>
      </c>
      <c r="AU397" s="151" t="s">
        <v>82</v>
      </c>
      <c r="AV397" s="13" t="s">
        <v>80</v>
      </c>
      <c r="AW397" s="13" t="s">
        <v>34</v>
      </c>
      <c r="AX397" s="13" t="s">
        <v>72</v>
      </c>
      <c r="AY397" s="151" t="s">
        <v>138</v>
      </c>
    </row>
    <row r="398" spans="1:65" s="14" customFormat="1">
      <c r="B398" s="156"/>
      <c r="D398" s="150" t="s">
        <v>145</v>
      </c>
      <c r="E398" s="157" t="s">
        <v>3</v>
      </c>
      <c r="F398" s="158" t="s">
        <v>1509</v>
      </c>
      <c r="H398" s="159">
        <v>20</v>
      </c>
      <c r="I398" s="280"/>
      <c r="L398" s="156"/>
      <c r="M398" s="160"/>
      <c r="N398" s="161"/>
      <c r="O398" s="161"/>
      <c r="P398" s="161"/>
      <c r="Q398" s="161"/>
      <c r="R398" s="161"/>
      <c r="S398" s="161"/>
      <c r="T398" s="162"/>
      <c r="AT398" s="157" t="s">
        <v>145</v>
      </c>
      <c r="AU398" s="157" t="s">
        <v>82</v>
      </c>
      <c r="AV398" s="14" t="s">
        <v>82</v>
      </c>
      <c r="AW398" s="14" t="s">
        <v>34</v>
      </c>
      <c r="AX398" s="14" t="s">
        <v>72</v>
      </c>
      <c r="AY398" s="157" t="s">
        <v>138</v>
      </c>
    </row>
    <row r="399" spans="1:65" s="13" customFormat="1">
      <c r="B399" s="149"/>
      <c r="D399" s="150" t="s">
        <v>145</v>
      </c>
      <c r="E399" s="151" t="s">
        <v>3</v>
      </c>
      <c r="F399" s="152" t="s">
        <v>157</v>
      </c>
      <c r="H399" s="151" t="s">
        <v>3</v>
      </c>
      <c r="I399" s="282"/>
      <c r="L399" s="149"/>
      <c r="M399" s="153"/>
      <c r="N399" s="154"/>
      <c r="O399" s="154"/>
      <c r="P399" s="154"/>
      <c r="Q399" s="154"/>
      <c r="R399" s="154"/>
      <c r="S399" s="154"/>
      <c r="T399" s="155"/>
      <c r="AT399" s="151" t="s">
        <v>145</v>
      </c>
      <c r="AU399" s="151" t="s">
        <v>82</v>
      </c>
      <c r="AV399" s="13" t="s">
        <v>80</v>
      </c>
      <c r="AW399" s="13" t="s">
        <v>34</v>
      </c>
      <c r="AX399" s="13" t="s">
        <v>72</v>
      </c>
      <c r="AY399" s="151" t="s">
        <v>138</v>
      </c>
    </row>
    <row r="400" spans="1:65" s="14" customFormat="1">
      <c r="B400" s="156"/>
      <c r="D400" s="150" t="s">
        <v>145</v>
      </c>
      <c r="E400" s="157" t="s">
        <v>3</v>
      </c>
      <c r="F400" s="158" t="s">
        <v>1513</v>
      </c>
      <c r="H400" s="159">
        <v>16</v>
      </c>
      <c r="I400" s="280"/>
      <c r="L400" s="156"/>
      <c r="M400" s="160"/>
      <c r="N400" s="161"/>
      <c r="O400" s="161"/>
      <c r="P400" s="161"/>
      <c r="Q400" s="161"/>
      <c r="R400" s="161"/>
      <c r="S400" s="161"/>
      <c r="T400" s="162"/>
      <c r="AT400" s="157" t="s">
        <v>145</v>
      </c>
      <c r="AU400" s="157" t="s">
        <v>82</v>
      </c>
      <c r="AV400" s="14" t="s">
        <v>82</v>
      </c>
      <c r="AW400" s="14" t="s">
        <v>34</v>
      </c>
      <c r="AX400" s="14" t="s">
        <v>72</v>
      </c>
      <c r="AY400" s="157" t="s">
        <v>138</v>
      </c>
    </row>
    <row r="401" spans="1:65" s="15" customFormat="1">
      <c r="B401" s="166"/>
      <c r="D401" s="150" t="s">
        <v>145</v>
      </c>
      <c r="E401" s="167" t="s">
        <v>3</v>
      </c>
      <c r="F401" s="168" t="s">
        <v>151</v>
      </c>
      <c r="H401" s="169">
        <f>H398+H400</f>
        <v>36</v>
      </c>
      <c r="I401" s="284"/>
      <c r="L401" s="166"/>
      <c r="M401" s="170"/>
      <c r="N401" s="171"/>
      <c r="O401" s="171"/>
      <c r="P401" s="171"/>
      <c r="Q401" s="171"/>
      <c r="R401" s="171"/>
      <c r="S401" s="171"/>
      <c r="T401" s="172"/>
      <c r="AT401" s="167" t="s">
        <v>145</v>
      </c>
      <c r="AU401" s="167" t="s">
        <v>82</v>
      </c>
      <c r="AV401" s="15" t="s">
        <v>144</v>
      </c>
      <c r="AW401" s="15" t="s">
        <v>34</v>
      </c>
      <c r="AX401" s="15" t="s">
        <v>80</v>
      </c>
      <c r="AY401" s="167" t="s">
        <v>138</v>
      </c>
    </row>
    <row r="402" spans="1:65" s="2" customFormat="1" ht="24.2" customHeight="1">
      <c r="B402" s="301"/>
      <c r="C402" s="137">
        <v>64</v>
      </c>
      <c r="D402" s="137" t="s">
        <v>141</v>
      </c>
      <c r="E402" s="138" t="s">
        <v>1510</v>
      </c>
      <c r="F402" s="139" t="s">
        <v>1511</v>
      </c>
      <c r="G402" s="140" t="s">
        <v>147</v>
      </c>
      <c r="H402" s="141">
        <v>1</v>
      </c>
      <c r="I402" s="142"/>
      <c r="J402" s="142">
        <f>ROUND(I402*H402,2)</f>
        <v>0</v>
      </c>
      <c r="K402" s="139" t="s">
        <v>148</v>
      </c>
      <c r="L402" s="89"/>
      <c r="M402" s="143" t="s">
        <v>3</v>
      </c>
      <c r="N402" s="302" t="s">
        <v>43</v>
      </c>
      <c r="O402" s="303">
        <v>3.5000000000000003E-2</v>
      </c>
      <c r="P402" s="303">
        <f>O402*H402</f>
        <v>3.5000000000000003E-2</v>
      </c>
      <c r="Q402" s="303">
        <v>2.0000000000000001E-4</v>
      </c>
      <c r="R402" s="303">
        <f>Q402*H402</f>
        <v>2.0000000000000001E-4</v>
      </c>
      <c r="S402" s="303">
        <v>0</v>
      </c>
      <c r="T402" s="146">
        <f>S402*H402</f>
        <v>0</v>
      </c>
      <c r="AR402" s="147" t="s">
        <v>200</v>
      </c>
      <c r="AT402" s="147" t="s">
        <v>141</v>
      </c>
      <c r="AU402" s="147" t="s">
        <v>82</v>
      </c>
      <c r="AY402" s="304" t="s">
        <v>138</v>
      </c>
      <c r="BE402" s="305">
        <f>IF(N402="základní",J402,0)</f>
        <v>0</v>
      </c>
      <c r="BF402" s="305">
        <f>IF(N402="snížená",J402,0)</f>
        <v>0</v>
      </c>
      <c r="BG402" s="305">
        <f>IF(N402="zákl. přenesená",J402,0)</f>
        <v>0</v>
      </c>
      <c r="BH402" s="305">
        <f>IF(N402="sníž. přenesená",J402,0)</f>
        <v>0</v>
      </c>
      <c r="BI402" s="305">
        <f>IF(N402="nulová",J402,0)</f>
        <v>0</v>
      </c>
      <c r="BJ402" s="304" t="s">
        <v>80</v>
      </c>
      <c r="BK402" s="305">
        <f>ROUND(I402*H402,2)</f>
        <v>0</v>
      </c>
      <c r="BL402" s="304" t="s">
        <v>200</v>
      </c>
      <c r="BM402" s="147" t="s">
        <v>1512</v>
      </c>
    </row>
    <row r="403" spans="1:65" s="2" customFormat="1" ht="97.5">
      <c r="B403" s="89"/>
      <c r="D403" s="150" t="s">
        <v>149</v>
      </c>
      <c r="F403" s="163" t="s">
        <v>382</v>
      </c>
      <c r="L403" s="89"/>
      <c r="M403" s="314"/>
      <c r="N403" s="315"/>
      <c r="O403" s="315"/>
      <c r="P403" s="315"/>
      <c r="Q403" s="315"/>
      <c r="R403" s="315"/>
      <c r="S403" s="315"/>
      <c r="T403" s="316"/>
      <c r="AT403" s="304" t="s">
        <v>149</v>
      </c>
      <c r="AU403" s="304" t="s">
        <v>82</v>
      </c>
    </row>
    <row r="404" spans="1:65" s="13" customFormat="1">
      <c r="B404" s="149"/>
      <c r="D404" s="150" t="s">
        <v>145</v>
      </c>
      <c r="E404" s="151" t="s">
        <v>3</v>
      </c>
      <c r="F404" s="152" t="s">
        <v>156</v>
      </c>
      <c r="H404" s="151" t="s">
        <v>3</v>
      </c>
      <c r="L404" s="149"/>
      <c r="M404" s="153"/>
      <c r="N404" s="306"/>
      <c r="O404" s="306"/>
      <c r="P404" s="306"/>
      <c r="Q404" s="306"/>
      <c r="R404" s="306"/>
      <c r="S404" s="306"/>
      <c r="T404" s="155"/>
      <c r="AT404" s="151" t="s">
        <v>145</v>
      </c>
      <c r="AU404" s="151" t="s">
        <v>82</v>
      </c>
      <c r="AV404" s="13" t="s">
        <v>80</v>
      </c>
      <c r="AW404" s="13" t="s">
        <v>34</v>
      </c>
      <c r="AX404" s="13" t="s">
        <v>72</v>
      </c>
      <c r="AY404" s="151" t="s">
        <v>138</v>
      </c>
    </row>
    <row r="405" spans="1:65" s="14" customFormat="1">
      <c r="B405" s="156"/>
      <c r="D405" s="150" t="s">
        <v>145</v>
      </c>
      <c r="E405" s="157" t="s">
        <v>3</v>
      </c>
      <c r="F405" s="158">
        <v>1</v>
      </c>
      <c r="H405" s="159">
        <v>1</v>
      </c>
      <c r="L405" s="156"/>
      <c r="M405" s="160"/>
      <c r="N405" s="307"/>
      <c r="O405" s="307"/>
      <c r="P405" s="307"/>
      <c r="Q405" s="307"/>
      <c r="R405" s="307"/>
      <c r="S405" s="307"/>
      <c r="T405" s="162"/>
      <c r="AT405" s="157" t="s">
        <v>145</v>
      </c>
      <c r="AU405" s="157" t="s">
        <v>82</v>
      </c>
      <c r="AV405" s="14" t="s">
        <v>82</v>
      </c>
      <c r="AW405" s="14" t="s">
        <v>34</v>
      </c>
      <c r="AX405" s="14" t="s">
        <v>72</v>
      </c>
      <c r="AY405" s="157" t="s">
        <v>138</v>
      </c>
    </row>
    <row r="406" spans="1:65" s="2" customFormat="1" ht="24.2" customHeight="1">
      <c r="A406" s="31"/>
      <c r="B406" s="136"/>
      <c r="C406" s="137">
        <v>65</v>
      </c>
      <c r="D406" s="137" t="s">
        <v>141</v>
      </c>
      <c r="E406" s="138" t="s">
        <v>386</v>
      </c>
      <c r="F406" s="139" t="s">
        <v>387</v>
      </c>
      <c r="G406" s="140" t="s">
        <v>187</v>
      </c>
      <c r="H406" s="141">
        <f>H413</f>
        <v>65.603999999999999</v>
      </c>
      <c r="I406" s="278"/>
      <c r="J406" s="142">
        <f>ROUND(I406*H406,2)</f>
        <v>0</v>
      </c>
      <c r="K406" s="139" t="s">
        <v>148</v>
      </c>
      <c r="L406" s="32"/>
      <c r="M406" s="143" t="s">
        <v>3</v>
      </c>
      <c r="N406" s="144" t="s">
        <v>43</v>
      </c>
      <c r="O406" s="145">
        <v>0.06</v>
      </c>
      <c r="P406" s="145">
        <f>O406*H406</f>
        <v>3.9362399999999997</v>
      </c>
      <c r="Q406" s="145">
        <v>3.2000000000000003E-4</v>
      </c>
      <c r="R406" s="145">
        <f>Q406*H406</f>
        <v>2.0993280000000003E-2</v>
      </c>
      <c r="S406" s="145">
        <v>0</v>
      </c>
      <c r="T406" s="146">
        <f>S406*H406</f>
        <v>0</v>
      </c>
      <c r="U406" s="31"/>
      <c r="V406" s="31"/>
      <c r="W406" s="31"/>
      <c r="X406" s="31"/>
      <c r="Y406" s="31"/>
      <c r="Z406" s="31"/>
      <c r="AA406" s="31"/>
      <c r="AB406" s="31"/>
      <c r="AC406" s="31"/>
      <c r="AD406" s="31"/>
      <c r="AE406" s="31"/>
      <c r="AR406" s="147" t="s">
        <v>200</v>
      </c>
      <c r="AT406" s="147" t="s">
        <v>141</v>
      </c>
      <c r="AU406" s="147" t="s">
        <v>82</v>
      </c>
      <c r="AY406" s="19" t="s">
        <v>138</v>
      </c>
      <c r="BE406" s="148">
        <f>IF(N406="základní",J406,0)</f>
        <v>0</v>
      </c>
      <c r="BF406" s="148">
        <f>IF(N406="snížená",J406,0)</f>
        <v>0</v>
      </c>
      <c r="BG406" s="148">
        <f>IF(N406="zákl. přenesená",J406,0)</f>
        <v>0</v>
      </c>
      <c r="BH406" s="148">
        <f>IF(N406="sníž. přenesená",J406,0)</f>
        <v>0</v>
      </c>
      <c r="BI406" s="148">
        <f>IF(N406="nulová",J406,0)</f>
        <v>0</v>
      </c>
      <c r="BJ406" s="19" t="s">
        <v>80</v>
      </c>
      <c r="BK406" s="148">
        <f>ROUND(I406*H406,2)</f>
        <v>0</v>
      </c>
      <c r="BL406" s="19" t="s">
        <v>200</v>
      </c>
      <c r="BM406" s="147" t="s">
        <v>388</v>
      </c>
    </row>
    <row r="407" spans="1:65" s="2" customFormat="1" ht="97.5">
      <c r="A407" s="31"/>
      <c r="B407" s="32"/>
      <c r="C407" s="31"/>
      <c r="D407" s="150" t="s">
        <v>149</v>
      </c>
      <c r="E407" s="31"/>
      <c r="F407" s="163" t="s">
        <v>382</v>
      </c>
      <c r="G407" s="31"/>
      <c r="H407" s="31"/>
      <c r="I407" s="279"/>
      <c r="J407" s="31"/>
      <c r="K407" s="31"/>
      <c r="L407" s="32"/>
      <c r="M407" s="164"/>
      <c r="N407" s="165"/>
      <c r="O407" s="52"/>
      <c r="P407" s="52"/>
      <c r="Q407" s="52"/>
      <c r="R407" s="52"/>
      <c r="S407" s="52"/>
      <c r="T407" s="53"/>
      <c r="U407" s="31"/>
      <c r="V407" s="31"/>
      <c r="W407" s="31"/>
      <c r="X407" s="31"/>
      <c r="Y407" s="31"/>
      <c r="Z407" s="31"/>
      <c r="AA407" s="31"/>
      <c r="AB407" s="31"/>
      <c r="AC407" s="31"/>
      <c r="AD407" s="31"/>
      <c r="AE407" s="31"/>
      <c r="AT407" s="19" t="s">
        <v>149</v>
      </c>
      <c r="AU407" s="19" t="s">
        <v>82</v>
      </c>
    </row>
    <row r="408" spans="1:65" s="13" customFormat="1">
      <c r="B408" s="149"/>
      <c r="D408" s="150" t="s">
        <v>145</v>
      </c>
      <c r="E408" s="151" t="s">
        <v>3</v>
      </c>
      <c r="F408" s="152" t="s">
        <v>218</v>
      </c>
      <c r="H408" s="151" t="s">
        <v>3</v>
      </c>
      <c r="I408" s="282"/>
      <c r="L408" s="149"/>
      <c r="M408" s="153"/>
      <c r="N408" s="154"/>
      <c r="O408" s="154"/>
      <c r="P408" s="154"/>
      <c r="Q408" s="154"/>
      <c r="R408" s="154"/>
      <c r="S408" s="154"/>
      <c r="T408" s="155"/>
      <c r="AT408" s="151" t="s">
        <v>145</v>
      </c>
      <c r="AU408" s="151" t="s">
        <v>82</v>
      </c>
      <c r="AV408" s="13" t="s">
        <v>80</v>
      </c>
      <c r="AW408" s="13" t="s">
        <v>34</v>
      </c>
      <c r="AX408" s="13" t="s">
        <v>72</v>
      </c>
      <c r="AY408" s="151" t="s">
        <v>138</v>
      </c>
    </row>
    <row r="409" spans="1:65" s="13" customFormat="1">
      <c r="B409" s="149"/>
      <c r="D409" s="150" t="s">
        <v>145</v>
      </c>
      <c r="E409" s="151" t="s">
        <v>3</v>
      </c>
      <c r="F409" s="152" t="s">
        <v>156</v>
      </c>
      <c r="H409" s="151" t="s">
        <v>3</v>
      </c>
      <c r="I409" s="282"/>
      <c r="L409" s="149"/>
      <c r="M409" s="153"/>
      <c r="N409" s="154"/>
      <c r="O409" s="154"/>
      <c r="P409" s="154"/>
      <c r="Q409" s="154"/>
      <c r="R409" s="154"/>
      <c r="S409" s="154"/>
      <c r="T409" s="155"/>
      <c r="AT409" s="151" t="s">
        <v>145</v>
      </c>
      <c r="AU409" s="151" t="s">
        <v>82</v>
      </c>
      <c r="AV409" s="13" t="s">
        <v>80</v>
      </c>
      <c r="AW409" s="13" t="s">
        <v>34</v>
      </c>
      <c r="AX409" s="13" t="s">
        <v>72</v>
      </c>
      <c r="AY409" s="151" t="s">
        <v>138</v>
      </c>
    </row>
    <row r="410" spans="1:65" s="14" customFormat="1">
      <c r="B410" s="156"/>
      <c r="D410" s="150" t="s">
        <v>145</v>
      </c>
      <c r="E410" s="157" t="s">
        <v>3</v>
      </c>
      <c r="F410" s="158" t="s">
        <v>1514</v>
      </c>
      <c r="H410" s="159">
        <f>7.66+7.9+4.26+7.44+5.46+5.46</f>
        <v>38.18</v>
      </c>
      <c r="I410" s="280"/>
      <c r="L410" s="156"/>
      <c r="M410" s="160"/>
      <c r="N410" s="161"/>
      <c r="O410" s="161"/>
      <c r="P410" s="161"/>
      <c r="Q410" s="161"/>
      <c r="R410" s="161"/>
      <c r="S410" s="161"/>
      <c r="T410" s="162"/>
      <c r="AT410" s="157" t="s">
        <v>145</v>
      </c>
      <c r="AU410" s="157" t="s">
        <v>82</v>
      </c>
      <c r="AV410" s="14" t="s">
        <v>82</v>
      </c>
      <c r="AW410" s="14" t="s">
        <v>34</v>
      </c>
      <c r="AX410" s="14" t="s">
        <v>72</v>
      </c>
      <c r="AY410" s="157" t="s">
        <v>138</v>
      </c>
    </row>
    <row r="411" spans="1:65" s="13" customFormat="1">
      <c r="B411" s="149"/>
      <c r="D411" s="150" t="s">
        <v>145</v>
      </c>
      <c r="E411" s="151" t="s">
        <v>3</v>
      </c>
      <c r="F411" s="152" t="s">
        <v>157</v>
      </c>
      <c r="H411" s="151" t="s">
        <v>3</v>
      </c>
      <c r="I411" s="282"/>
      <c r="L411" s="149"/>
      <c r="M411" s="153"/>
      <c r="N411" s="154"/>
      <c r="O411" s="154"/>
      <c r="P411" s="154"/>
      <c r="Q411" s="154"/>
      <c r="R411" s="154"/>
      <c r="S411" s="154"/>
      <c r="T411" s="155"/>
      <c r="AT411" s="151" t="s">
        <v>145</v>
      </c>
      <c r="AU411" s="151" t="s">
        <v>82</v>
      </c>
      <c r="AV411" s="13" t="s">
        <v>80</v>
      </c>
      <c r="AW411" s="13" t="s">
        <v>34</v>
      </c>
      <c r="AX411" s="13" t="s">
        <v>72</v>
      </c>
      <c r="AY411" s="151" t="s">
        <v>138</v>
      </c>
    </row>
    <row r="412" spans="1:65" s="14" customFormat="1">
      <c r="B412" s="156"/>
      <c r="D412" s="150" t="s">
        <v>145</v>
      </c>
      <c r="E412" s="157" t="s">
        <v>3</v>
      </c>
      <c r="F412" s="158" t="s">
        <v>1515</v>
      </c>
      <c r="H412" s="159">
        <f>6.56+5.78+6.244+8.84</f>
        <v>27.423999999999999</v>
      </c>
      <c r="I412" s="280"/>
      <c r="L412" s="156"/>
      <c r="M412" s="160"/>
      <c r="N412" s="161"/>
      <c r="O412" s="161"/>
      <c r="P412" s="161"/>
      <c r="Q412" s="161"/>
      <c r="R412" s="161"/>
      <c r="S412" s="161"/>
      <c r="T412" s="162"/>
      <c r="AT412" s="157" t="s">
        <v>145</v>
      </c>
      <c r="AU412" s="157" t="s">
        <v>82</v>
      </c>
      <c r="AV412" s="14" t="s">
        <v>82</v>
      </c>
      <c r="AW412" s="14" t="s">
        <v>34</v>
      </c>
      <c r="AX412" s="14" t="s">
        <v>72</v>
      </c>
      <c r="AY412" s="157" t="s">
        <v>138</v>
      </c>
    </row>
    <row r="413" spans="1:65" s="15" customFormat="1">
      <c r="B413" s="166"/>
      <c r="D413" s="150" t="s">
        <v>145</v>
      </c>
      <c r="E413" s="167" t="s">
        <v>3</v>
      </c>
      <c r="F413" s="168" t="s">
        <v>151</v>
      </c>
      <c r="H413" s="169">
        <f>H410+H412</f>
        <v>65.603999999999999</v>
      </c>
      <c r="I413" s="284"/>
      <c r="L413" s="166"/>
      <c r="M413" s="170"/>
      <c r="N413" s="171"/>
      <c r="O413" s="171"/>
      <c r="P413" s="171"/>
      <c r="Q413" s="171"/>
      <c r="R413" s="171"/>
      <c r="S413" s="171"/>
      <c r="T413" s="172"/>
      <c r="AT413" s="167" t="s">
        <v>145</v>
      </c>
      <c r="AU413" s="167" t="s">
        <v>82</v>
      </c>
      <c r="AV413" s="15" t="s">
        <v>144</v>
      </c>
      <c r="AW413" s="15" t="s">
        <v>34</v>
      </c>
      <c r="AX413" s="15" t="s">
        <v>80</v>
      </c>
      <c r="AY413" s="167" t="s">
        <v>138</v>
      </c>
    </row>
    <row r="414" spans="1:65" s="2" customFormat="1" ht="37.9" customHeight="1">
      <c r="A414" s="31"/>
      <c r="B414" s="136"/>
      <c r="C414" s="137">
        <v>66</v>
      </c>
      <c r="D414" s="137" t="s">
        <v>141</v>
      </c>
      <c r="E414" s="138" t="s">
        <v>389</v>
      </c>
      <c r="F414" s="139" t="s">
        <v>390</v>
      </c>
      <c r="G414" s="140" t="s">
        <v>308</v>
      </c>
      <c r="H414" s="141">
        <f>SUM(J355:J413)/100</f>
        <v>0</v>
      </c>
      <c r="I414" s="278"/>
      <c r="J414" s="142">
        <f>ROUND(I414*H414,2)</f>
        <v>0</v>
      </c>
      <c r="K414" s="139" t="s">
        <v>148</v>
      </c>
      <c r="L414" s="32"/>
      <c r="M414" s="143" t="s">
        <v>3</v>
      </c>
      <c r="N414" s="144" t="s">
        <v>43</v>
      </c>
      <c r="O414" s="145">
        <v>0</v>
      </c>
      <c r="P414" s="145">
        <f>O414*H414</f>
        <v>0</v>
      </c>
      <c r="Q414" s="145">
        <v>0</v>
      </c>
      <c r="R414" s="145">
        <f>Q414*H414</f>
        <v>0</v>
      </c>
      <c r="S414" s="145">
        <v>0</v>
      </c>
      <c r="T414" s="146">
        <f>S414*H414</f>
        <v>0</v>
      </c>
      <c r="U414" s="31"/>
      <c r="V414" s="31"/>
      <c r="W414" s="31"/>
      <c r="X414" s="31"/>
      <c r="Y414" s="31"/>
      <c r="Z414" s="31"/>
      <c r="AA414" s="31"/>
      <c r="AB414" s="31"/>
      <c r="AC414" s="31"/>
      <c r="AD414" s="31"/>
      <c r="AE414" s="31"/>
      <c r="AR414" s="147" t="s">
        <v>200</v>
      </c>
      <c r="AT414" s="147" t="s">
        <v>141</v>
      </c>
      <c r="AU414" s="147" t="s">
        <v>82</v>
      </c>
      <c r="AY414" s="19" t="s">
        <v>138</v>
      </c>
      <c r="BE414" s="148">
        <f>IF(N414="základní",J414,0)</f>
        <v>0</v>
      </c>
      <c r="BF414" s="148">
        <f>IF(N414="snížená",J414,0)</f>
        <v>0</v>
      </c>
      <c r="BG414" s="148">
        <f>IF(N414="zákl. přenesená",J414,0)</f>
        <v>0</v>
      </c>
      <c r="BH414" s="148">
        <f>IF(N414="sníž. přenesená",J414,0)</f>
        <v>0</v>
      </c>
      <c r="BI414" s="148">
        <f>IF(N414="nulová",J414,0)</f>
        <v>0</v>
      </c>
      <c r="BJ414" s="19" t="s">
        <v>80</v>
      </c>
      <c r="BK414" s="148">
        <f>ROUND(I414*H414,2)</f>
        <v>0</v>
      </c>
      <c r="BL414" s="19" t="s">
        <v>200</v>
      </c>
      <c r="BM414" s="147" t="s">
        <v>391</v>
      </c>
    </row>
    <row r="415" spans="1:65" s="2" customFormat="1" ht="126.75">
      <c r="A415" s="31"/>
      <c r="B415" s="32"/>
      <c r="C415" s="31"/>
      <c r="D415" s="150" t="s">
        <v>149</v>
      </c>
      <c r="E415" s="31"/>
      <c r="F415" s="163" t="s">
        <v>392</v>
      </c>
      <c r="G415" s="31"/>
      <c r="H415" s="31"/>
      <c r="I415" s="279"/>
      <c r="J415" s="31"/>
      <c r="K415" s="31"/>
      <c r="L415" s="32"/>
      <c r="M415" s="164"/>
      <c r="N415" s="165"/>
      <c r="O415" s="52"/>
      <c r="P415" s="52"/>
      <c r="Q415" s="52"/>
      <c r="R415" s="52"/>
      <c r="S415" s="52"/>
      <c r="T415" s="53"/>
      <c r="U415" s="31"/>
      <c r="V415" s="31"/>
      <c r="W415" s="31"/>
      <c r="X415" s="31"/>
      <c r="Y415" s="31"/>
      <c r="Z415" s="31"/>
      <c r="AA415" s="31"/>
      <c r="AB415" s="31"/>
      <c r="AC415" s="31"/>
      <c r="AD415" s="31"/>
      <c r="AE415" s="31"/>
      <c r="AT415" s="19" t="s">
        <v>149</v>
      </c>
      <c r="AU415" s="19" t="s">
        <v>82</v>
      </c>
    </row>
    <row r="416" spans="1:65" s="2" customFormat="1" ht="49.15" customHeight="1">
      <c r="A416" s="31"/>
      <c r="B416" s="136"/>
      <c r="C416" s="137">
        <v>67</v>
      </c>
      <c r="D416" s="137" t="s">
        <v>141</v>
      </c>
      <c r="E416" s="138" t="s">
        <v>393</v>
      </c>
      <c r="F416" s="139" t="s">
        <v>394</v>
      </c>
      <c r="G416" s="140" t="s">
        <v>308</v>
      </c>
      <c r="H416" s="141">
        <f>H414</f>
        <v>0</v>
      </c>
      <c r="I416" s="278"/>
      <c r="J416" s="142">
        <f>ROUND(I416*H416,2)</f>
        <v>0</v>
      </c>
      <c r="K416" s="139" t="s">
        <v>148</v>
      </c>
      <c r="L416" s="32"/>
      <c r="M416" s="143" t="s">
        <v>3</v>
      </c>
      <c r="N416" s="144" t="s">
        <v>43</v>
      </c>
      <c r="O416" s="145">
        <v>0</v>
      </c>
      <c r="P416" s="145">
        <f>O416*H416</f>
        <v>0</v>
      </c>
      <c r="Q416" s="145">
        <v>0</v>
      </c>
      <c r="R416" s="145">
        <f>Q416*H416</f>
        <v>0</v>
      </c>
      <c r="S416" s="145">
        <v>0</v>
      </c>
      <c r="T416" s="146">
        <f>S416*H416</f>
        <v>0</v>
      </c>
      <c r="U416" s="31"/>
      <c r="V416" s="31"/>
      <c r="W416" s="31"/>
      <c r="X416" s="31"/>
      <c r="Y416" s="31"/>
      <c r="Z416" s="31"/>
      <c r="AA416" s="31"/>
      <c r="AB416" s="31"/>
      <c r="AC416" s="31"/>
      <c r="AD416" s="31"/>
      <c r="AE416" s="31"/>
      <c r="AR416" s="147" t="s">
        <v>200</v>
      </c>
      <c r="AT416" s="147" t="s">
        <v>141</v>
      </c>
      <c r="AU416" s="147" t="s">
        <v>82</v>
      </c>
      <c r="AY416" s="19" t="s">
        <v>138</v>
      </c>
      <c r="BE416" s="148">
        <f>IF(N416="základní",J416,0)</f>
        <v>0</v>
      </c>
      <c r="BF416" s="148">
        <f>IF(N416="snížená",J416,0)</f>
        <v>0</v>
      </c>
      <c r="BG416" s="148">
        <f>IF(N416="zákl. přenesená",J416,0)</f>
        <v>0</v>
      </c>
      <c r="BH416" s="148">
        <f>IF(N416="sníž. přenesená",J416,0)</f>
        <v>0</v>
      </c>
      <c r="BI416" s="148">
        <f>IF(N416="nulová",J416,0)</f>
        <v>0</v>
      </c>
      <c r="BJ416" s="19" t="s">
        <v>80</v>
      </c>
      <c r="BK416" s="148">
        <f>ROUND(I416*H416,2)</f>
        <v>0</v>
      </c>
      <c r="BL416" s="19" t="s">
        <v>200</v>
      </c>
      <c r="BM416" s="147" t="s">
        <v>395</v>
      </c>
    </row>
    <row r="417" spans="1:65" s="2" customFormat="1" ht="126.75">
      <c r="A417" s="31"/>
      <c r="B417" s="32"/>
      <c r="C417" s="31"/>
      <c r="D417" s="150" t="s">
        <v>149</v>
      </c>
      <c r="E417" s="31"/>
      <c r="F417" s="163" t="s">
        <v>392</v>
      </c>
      <c r="G417" s="31"/>
      <c r="H417" s="31"/>
      <c r="I417" s="279"/>
      <c r="J417" s="31"/>
      <c r="K417" s="31"/>
      <c r="L417" s="32"/>
      <c r="M417" s="164"/>
      <c r="N417" s="165"/>
      <c r="O417" s="52"/>
      <c r="P417" s="52"/>
      <c r="Q417" s="52"/>
      <c r="R417" s="52"/>
      <c r="S417" s="52"/>
      <c r="T417" s="53"/>
      <c r="U417" s="31"/>
      <c r="V417" s="31"/>
      <c r="W417" s="31"/>
      <c r="X417" s="31"/>
      <c r="Y417" s="31"/>
      <c r="Z417" s="31"/>
      <c r="AA417" s="31"/>
      <c r="AB417" s="31"/>
      <c r="AC417" s="31"/>
      <c r="AD417" s="31"/>
      <c r="AE417" s="31"/>
      <c r="AT417" s="19" t="s">
        <v>149</v>
      </c>
      <c r="AU417" s="19" t="s">
        <v>82</v>
      </c>
    </row>
    <row r="418" spans="1:65" s="12" customFormat="1" ht="22.9" customHeight="1">
      <c r="B418" s="124"/>
      <c r="D418" s="125" t="s">
        <v>71</v>
      </c>
      <c r="E418" s="134" t="s">
        <v>421</v>
      </c>
      <c r="F418" s="134" t="s">
        <v>422</v>
      </c>
      <c r="I418" s="285"/>
      <c r="J418" s="135">
        <f>SUM(J419:J459)</f>
        <v>0</v>
      </c>
      <c r="L418" s="124"/>
      <c r="M418" s="128"/>
      <c r="N418" s="129"/>
      <c r="O418" s="129"/>
      <c r="P418" s="130">
        <f>SUM(P448:P455)</f>
        <v>17.348099999999999</v>
      </c>
      <c r="Q418" s="129"/>
      <c r="R418" s="130">
        <f>SUM(R448:R455)</f>
        <v>0</v>
      </c>
      <c r="S418" s="129"/>
      <c r="T418" s="131">
        <f>SUM(T448:T455)</f>
        <v>0.41305000000000003</v>
      </c>
      <c r="AR418" s="125" t="s">
        <v>82</v>
      </c>
      <c r="AT418" s="132" t="s">
        <v>71</v>
      </c>
      <c r="AU418" s="132" t="s">
        <v>80</v>
      </c>
      <c r="AY418" s="125" t="s">
        <v>138</v>
      </c>
      <c r="BK418" s="133">
        <f>SUM(BK448:BK455)</f>
        <v>0</v>
      </c>
    </row>
    <row r="419" spans="1:65" s="2" customFormat="1" ht="37.9" customHeight="1">
      <c r="A419" s="31"/>
      <c r="B419" s="136"/>
      <c r="C419" s="286">
        <v>68</v>
      </c>
      <c r="D419" s="286" t="s">
        <v>141</v>
      </c>
      <c r="E419" s="287" t="s">
        <v>396</v>
      </c>
      <c r="F419" s="288" t="s">
        <v>1276</v>
      </c>
      <c r="G419" s="289" t="s">
        <v>173</v>
      </c>
      <c r="H419" s="290">
        <f>H426</f>
        <v>163.88000000000002</v>
      </c>
      <c r="I419" s="278"/>
      <c r="J419" s="278">
        <f>ROUND(I419*H419,2)</f>
        <v>0</v>
      </c>
      <c r="K419" s="288" t="s">
        <v>148</v>
      </c>
      <c r="L419" s="32"/>
      <c r="M419" s="143" t="s">
        <v>3</v>
      </c>
      <c r="N419" s="144" t="s">
        <v>43</v>
      </c>
      <c r="O419" s="145">
        <v>0.65</v>
      </c>
      <c r="P419" s="145">
        <f>O419*H419</f>
        <v>106.52200000000002</v>
      </c>
      <c r="Q419" s="145">
        <v>0</v>
      </c>
      <c r="R419" s="145">
        <f>Q419*H419</f>
        <v>0</v>
      </c>
      <c r="S419" s="145">
        <v>0</v>
      </c>
      <c r="T419" s="146">
        <f>S419*H419</f>
        <v>0</v>
      </c>
      <c r="U419" s="31"/>
      <c r="V419" s="31"/>
      <c r="W419" s="31"/>
      <c r="X419" s="31"/>
      <c r="Y419" s="31"/>
      <c r="Z419" s="31"/>
      <c r="AA419" s="31"/>
      <c r="AB419" s="31"/>
      <c r="AC419" s="31"/>
      <c r="AD419" s="31"/>
      <c r="AE419" s="31"/>
      <c r="AR419" s="147" t="s">
        <v>200</v>
      </c>
      <c r="AT419" s="147" t="s">
        <v>141</v>
      </c>
      <c r="AU419" s="147" t="s">
        <v>82</v>
      </c>
      <c r="AY419" s="19" t="s">
        <v>138</v>
      </c>
      <c r="BE419" s="148">
        <f>IF(N419="základní",J419,0)</f>
        <v>0</v>
      </c>
      <c r="BF419" s="148">
        <f>IF(N419="snížená",J419,0)</f>
        <v>0</v>
      </c>
      <c r="BG419" s="148">
        <f>IF(N419="zákl. přenesená",J419,0)</f>
        <v>0</v>
      </c>
      <c r="BH419" s="148">
        <f>IF(N419="sníž. přenesená",J419,0)</f>
        <v>0</v>
      </c>
      <c r="BI419" s="148">
        <f>IF(N419="nulová",J419,0)</f>
        <v>0</v>
      </c>
      <c r="BJ419" s="19" t="s">
        <v>80</v>
      </c>
      <c r="BK419" s="148">
        <f>ROUND(I419*H419,2)</f>
        <v>0</v>
      </c>
      <c r="BL419" s="19" t="s">
        <v>200</v>
      </c>
      <c r="BM419" s="147" t="s">
        <v>397</v>
      </c>
    </row>
    <row r="420" spans="1:65" s="2" customFormat="1" ht="19.5">
      <c r="A420" s="31"/>
      <c r="B420" s="32"/>
      <c r="C420" s="31"/>
      <c r="D420" s="150" t="s">
        <v>242</v>
      </c>
      <c r="E420" s="31"/>
      <c r="F420" s="163" t="s">
        <v>398</v>
      </c>
      <c r="G420" s="31"/>
      <c r="H420" s="31"/>
      <c r="I420" s="279"/>
      <c r="J420" s="31"/>
      <c r="K420" s="31"/>
      <c r="L420" s="32"/>
      <c r="M420" s="164"/>
      <c r="N420" s="165"/>
      <c r="O420" s="52"/>
      <c r="P420" s="52"/>
      <c r="Q420" s="52"/>
      <c r="R420" s="52"/>
      <c r="S420" s="52"/>
      <c r="T420" s="53"/>
      <c r="U420" s="31"/>
      <c r="V420" s="31"/>
      <c r="W420" s="31"/>
      <c r="X420" s="31"/>
      <c r="Y420" s="31"/>
      <c r="Z420" s="31"/>
      <c r="AA420" s="31"/>
      <c r="AB420" s="31"/>
      <c r="AC420" s="31"/>
      <c r="AD420" s="31"/>
      <c r="AE420" s="31"/>
      <c r="AT420" s="19" t="s">
        <v>242</v>
      </c>
      <c r="AU420" s="19" t="s">
        <v>82</v>
      </c>
    </row>
    <row r="421" spans="1:65" s="13" customFormat="1">
      <c r="B421" s="149"/>
      <c r="D421" s="150" t="s">
        <v>145</v>
      </c>
      <c r="E421" s="151" t="s">
        <v>3</v>
      </c>
      <c r="F421" s="152" t="s">
        <v>1499</v>
      </c>
      <c r="H421" s="151" t="s">
        <v>3</v>
      </c>
      <c r="I421" s="282"/>
      <c r="L421" s="149"/>
      <c r="M421" s="153"/>
      <c r="N421" s="154"/>
      <c r="O421" s="154"/>
      <c r="P421" s="154"/>
      <c r="Q421" s="154"/>
      <c r="R421" s="154"/>
      <c r="S421" s="154"/>
      <c r="T421" s="155"/>
      <c r="AT421" s="151" t="s">
        <v>145</v>
      </c>
      <c r="AU421" s="151" t="s">
        <v>82</v>
      </c>
      <c r="AV421" s="13" t="s">
        <v>80</v>
      </c>
      <c r="AW421" s="13" t="s">
        <v>34</v>
      </c>
      <c r="AX421" s="13" t="s">
        <v>72</v>
      </c>
      <c r="AY421" s="151" t="s">
        <v>138</v>
      </c>
    </row>
    <row r="422" spans="1:65" s="13" customFormat="1">
      <c r="B422" s="149"/>
      <c r="D422" s="150" t="s">
        <v>145</v>
      </c>
      <c r="E422" s="151" t="s">
        <v>3</v>
      </c>
      <c r="F422" s="152" t="s">
        <v>156</v>
      </c>
      <c r="H422" s="151" t="s">
        <v>3</v>
      </c>
      <c r="I422" s="282"/>
      <c r="L422" s="149"/>
      <c r="M422" s="153"/>
      <c r="N422" s="154"/>
      <c r="O422" s="154"/>
      <c r="P422" s="154"/>
      <c r="Q422" s="154"/>
      <c r="R422" s="154"/>
      <c r="S422" s="154"/>
      <c r="T422" s="155"/>
      <c r="AT422" s="151" t="s">
        <v>145</v>
      </c>
      <c r="AU422" s="151" t="s">
        <v>82</v>
      </c>
      <c r="AV422" s="13" t="s">
        <v>80</v>
      </c>
      <c r="AW422" s="13" t="s">
        <v>34</v>
      </c>
      <c r="AX422" s="13" t="s">
        <v>72</v>
      </c>
      <c r="AY422" s="151" t="s">
        <v>138</v>
      </c>
    </row>
    <row r="423" spans="1:65" s="14" customFormat="1">
      <c r="B423" s="156"/>
      <c r="D423" s="150" t="s">
        <v>145</v>
      </c>
      <c r="E423" s="157" t="s">
        <v>3</v>
      </c>
      <c r="F423" s="158" t="s">
        <v>1518</v>
      </c>
      <c r="H423" s="159">
        <f>18.88+9.26+8.59+10.95+8.63+8.63+17.82</f>
        <v>82.760000000000019</v>
      </c>
      <c r="I423" s="280"/>
      <c r="L423" s="156"/>
      <c r="M423" s="160"/>
      <c r="N423" s="161"/>
      <c r="O423" s="161"/>
      <c r="P423" s="161"/>
      <c r="Q423" s="161"/>
      <c r="R423" s="161"/>
      <c r="S423" s="161"/>
      <c r="T423" s="162"/>
      <c r="AT423" s="157" t="s">
        <v>145</v>
      </c>
      <c r="AU423" s="157" t="s">
        <v>82</v>
      </c>
      <c r="AV423" s="14" t="s">
        <v>82</v>
      </c>
      <c r="AW423" s="14" t="s">
        <v>34</v>
      </c>
      <c r="AX423" s="14" t="s">
        <v>72</v>
      </c>
      <c r="AY423" s="157" t="s">
        <v>138</v>
      </c>
    </row>
    <row r="424" spans="1:65" s="13" customFormat="1">
      <c r="B424" s="149"/>
      <c r="D424" s="150" t="s">
        <v>145</v>
      </c>
      <c r="E424" s="151" t="s">
        <v>3</v>
      </c>
      <c r="F424" s="152" t="s">
        <v>157</v>
      </c>
      <c r="H424" s="151" t="s">
        <v>3</v>
      </c>
      <c r="I424" s="282"/>
      <c r="L424" s="149"/>
      <c r="M424" s="153"/>
      <c r="N424" s="154"/>
      <c r="O424" s="154"/>
      <c r="P424" s="154"/>
      <c r="Q424" s="154"/>
      <c r="R424" s="154"/>
      <c r="S424" s="154"/>
      <c r="T424" s="155"/>
      <c r="AT424" s="151" t="s">
        <v>145</v>
      </c>
      <c r="AU424" s="151" t="s">
        <v>82</v>
      </c>
      <c r="AV424" s="13" t="s">
        <v>80</v>
      </c>
      <c r="AW424" s="13" t="s">
        <v>34</v>
      </c>
      <c r="AX424" s="13" t="s">
        <v>72</v>
      </c>
      <c r="AY424" s="151" t="s">
        <v>138</v>
      </c>
    </row>
    <row r="425" spans="1:65" s="14" customFormat="1">
      <c r="B425" s="156"/>
      <c r="D425" s="150" t="s">
        <v>145</v>
      </c>
      <c r="E425" s="157" t="s">
        <v>3</v>
      </c>
      <c r="F425" s="158" t="s">
        <v>1517</v>
      </c>
      <c r="H425" s="159">
        <f>15.71+13.27+17.77+4.3+12.04+18.03</f>
        <v>81.12</v>
      </c>
      <c r="I425" s="280"/>
      <c r="L425" s="156"/>
      <c r="M425" s="160"/>
      <c r="N425" s="161"/>
      <c r="O425" s="161"/>
      <c r="P425" s="161"/>
      <c r="Q425" s="161"/>
      <c r="R425" s="161"/>
      <c r="S425" s="161"/>
      <c r="T425" s="162"/>
      <c r="AT425" s="157" t="s">
        <v>145</v>
      </c>
      <c r="AU425" s="157" t="s">
        <v>82</v>
      </c>
      <c r="AV425" s="14" t="s">
        <v>82</v>
      </c>
      <c r="AW425" s="14" t="s">
        <v>34</v>
      </c>
      <c r="AX425" s="14" t="s">
        <v>72</v>
      </c>
      <c r="AY425" s="157" t="s">
        <v>138</v>
      </c>
    </row>
    <row r="426" spans="1:65" s="15" customFormat="1">
      <c r="B426" s="166"/>
      <c r="D426" s="150" t="s">
        <v>145</v>
      </c>
      <c r="E426" s="167" t="s">
        <v>3</v>
      </c>
      <c r="F426" s="168" t="s">
        <v>151</v>
      </c>
      <c r="H426" s="169">
        <f>H423+H425</f>
        <v>163.88000000000002</v>
      </c>
      <c r="I426" s="284"/>
      <c r="L426" s="166"/>
      <c r="M426" s="170"/>
      <c r="N426" s="171"/>
      <c r="O426" s="171"/>
      <c r="P426" s="171"/>
      <c r="Q426" s="171"/>
      <c r="R426" s="171"/>
      <c r="S426" s="171"/>
      <c r="T426" s="172"/>
      <c r="AT426" s="167" t="s">
        <v>145</v>
      </c>
      <c r="AU426" s="167" t="s">
        <v>82</v>
      </c>
      <c r="AV426" s="15" t="s">
        <v>144</v>
      </c>
      <c r="AW426" s="15" t="s">
        <v>34</v>
      </c>
      <c r="AX426" s="15" t="s">
        <v>80</v>
      </c>
      <c r="AY426" s="167" t="s">
        <v>138</v>
      </c>
    </row>
    <row r="427" spans="1:65" s="2" customFormat="1" ht="24.2" customHeight="1">
      <c r="A427" s="31"/>
      <c r="B427" s="136"/>
      <c r="C427" s="291">
        <v>69</v>
      </c>
      <c r="D427" s="291" t="s">
        <v>164</v>
      </c>
      <c r="E427" s="292" t="s">
        <v>399</v>
      </c>
      <c r="F427" s="293" t="s">
        <v>1275</v>
      </c>
      <c r="G427" s="294" t="s">
        <v>173</v>
      </c>
      <c r="H427" s="295">
        <v>150.524</v>
      </c>
      <c r="I427" s="281"/>
      <c r="J427" s="281">
        <f>ROUND(I427*H427,2)</f>
        <v>0</v>
      </c>
      <c r="K427" s="293" t="s">
        <v>143</v>
      </c>
      <c r="L427" s="179"/>
      <c r="M427" s="180" t="s">
        <v>3</v>
      </c>
      <c r="N427" s="181" t="s">
        <v>43</v>
      </c>
      <c r="O427" s="145">
        <v>0</v>
      </c>
      <c r="P427" s="145">
        <f>O427*H427</f>
        <v>0</v>
      </c>
      <c r="Q427" s="145">
        <v>7.0000000000000001E-3</v>
      </c>
      <c r="R427" s="145">
        <f>Q427*H427</f>
        <v>1.053668</v>
      </c>
      <c r="S427" s="145">
        <v>0</v>
      </c>
      <c r="T427" s="146">
        <f>S427*H427</f>
        <v>0</v>
      </c>
      <c r="U427" s="31"/>
      <c r="V427" s="275"/>
      <c r="W427" s="275"/>
      <c r="X427" s="31"/>
      <c r="Y427" s="31"/>
      <c r="Z427" s="31"/>
      <c r="AA427" s="31"/>
      <c r="AB427" s="31"/>
      <c r="AC427" s="31"/>
      <c r="AD427" s="31"/>
      <c r="AE427" s="31"/>
      <c r="AR427" s="147" t="s">
        <v>224</v>
      </c>
      <c r="AT427" s="147" t="s">
        <v>164</v>
      </c>
      <c r="AU427" s="147" t="s">
        <v>82</v>
      </c>
      <c r="AY427" s="19" t="s">
        <v>138</v>
      </c>
      <c r="BE427" s="148">
        <f>IF(N427="základní",J427,0)</f>
        <v>0</v>
      </c>
      <c r="BF427" s="148">
        <f>IF(N427="snížená",J427,0)</f>
        <v>0</v>
      </c>
      <c r="BG427" s="148">
        <f>IF(N427="zákl. přenesená",J427,0)</f>
        <v>0</v>
      </c>
      <c r="BH427" s="148">
        <f>IF(N427="sníž. přenesená",J427,0)</f>
        <v>0</v>
      </c>
      <c r="BI427" s="148">
        <f>IF(N427="nulová",J427,0)</f>
        <v>0</v>
      </c>
      <c r="BJ427" s="19" t="s">
        <v>80</v>
      </c>
      <c r="BK427" s="148">
        <f>ROUND(I427*H427,2)</f>
        <v>0</v>
      </c>
      <c r="BL427" s="19" t="s">
        <v>200</v>
      </c>
      <c r="BM427" s="147" t="s">
        <v>400</v>
      </c>
    </row>
    <row r="428" spans="1:65" s="2" customFormat="1" ht="29.25">
      <c r="A428" s="31"/>
      <c r="B428" s="32"/>
      <c r="C428" s="279"/>
      <c r="D428" s="296" t="s">
        <v>242</v>
      </c>
      <c r="E428" s="279"/>
      <c r="F428" s="297" t="s">
        <v>401</v>
      </c>
      <c r="G428" s="279"/>
      <c r="H428" s="279"/>
      <c r="I428" s="279"/>
      <c r="J428" s="279"/>
      <c r="K428" s="279"/>
      <c r="L428" s="32"/>
      <c r="M428" s="164"/>
      <c r="N428" s="165"/>
      <c r="O428" s="52"/>
      <c r="P428" s="52"/>
      <c r="Q428" s="52"/>
      <c r="R428" s="52"/>
      <c r="S428" s="52"/>
      <c r="T428" s="53"/>
      <c r="U428" s="31"/>
      <c r="V428" s="31"/>
      <c r="W428" s="31"/>
      <c r="X428" s="31"/>
      <c r="Y428" s="31"/>
      <c r="Z428" s="31"/>
      <c r="AA428" s="31"/>
      <c r="AB428" s="31"/>
      <c r="AC428" s="31"/>
      <c r="AD428" s="31"/>
      <c r="AE428" s="31"/>
      <c r="AT428" s="19" t="s">
        <v>242</v>
      </c>
      <c r="AU428" s="19" t="s">
        <v>82</v>
      </c>
    </row>
    <row r="429" spans="1:65" s="14" customFormat="1">
      <c r="B429" s="156"/>
      <c r="C429" s="280"/>
      <c r="D429" s="296" t="s">
        <v>145</v>
      </c>
      <c r="E429" s="280"/>
      <c r="F429" s="298" t="s">
        <v>1519</v>
      </c>
      <c r="G429" s="280"/>
      <c r="H429" s="299">
        <f>H427*1.2</f>
        <v>180.62879999999998</v>
      </c>
      <c r="I429" s="280"/>
      <c r="J429" s="280"/>
      <c r="K429" s="280"/>
      <c r="L429" s="156"/>
      <c r="M429" s="160"/>
      <c r="N429" s="161"/>
      <c r="O429" s="161"/>
      <c r="P429" s="161"/>
      <c r="Q429" s="161"/>
      <c r="R429" s="161"/>
      <c r="S429" s="161"/>
      <c r="T429" s="162"/>
      <c r="AT429" s="157" t="s">
        <v>145</v>
      </c>
      <c r="AU429" s="157" t="s">
        <v>82</v>
      </c>
      <c r="AV429" s="14" t="s">
        <v>82</v>
      </c>
      <c r="AW429" s="14" t="s">
        <v>4</v>
      </c>
      <c r="AX429" s="14" t="s">
        <v>80</v>
      </c>
      <c r="AY429" s="157" t="s">
        <v>138</v>
      </c>
    </row>
    <row r="430" spans="1:65" s="2" customFormat="1" ht="14.45" customHeight="1">
      <c r="A430" s="31"/>
      <c r="B430" s="136"/>
      <c r="C430" s="137">
        <v>70</v>
      </c>
      <c r="D430" s="137" t="s">
        <v>141</v>
      </c>
      <c r="E430" s="138" t="s">
        <v>402</v>
      </c>
      <c r="F430" s="139" t="s">
        <v>403</v>
      </c>
      <c r="G430" s="140" t="s">
        <v>187</v>
      </c>
      <c r="H430" s="141">
        <f>H437</f>
        <v>215.57999999999998</v>
      </c>
      <c r="I430" s="278"/>
      <c r="J430" s="142">
        <f>ROUND(I430*H430,2)</f>
        <v>0</v>
      </c>
      <c r="K430" s="139" t="s">
        <v>148</v>
      </c>
      <c r="L430" s="32"/>
      <c r="M430" s="143" t="s">
        <v>3</v>
      </c>
      <c r="N430" s="144" t="s">
        <v>43</v>
      </c>
      <c r="O430" s="145">
        <v>0.1</v>
      </c>
      <c r="P430" s="145">
        <f>O430*H430</f>
        <v>21.558</v>
      </c>
      <c r="Q430" s="145">
        <v>0</v>
      </c>
      <c r="R430" s="145">
        <f>Q430*H430</f>
        <v>0</v>
      </c>
      <c r="S430" s="145">
        <v>0</v>
      </c>
      <c r="T430" s="146">
        <f>S430*H430</f>
        <v>0</v>
      </c>
      <c r="U430" s="31"/>
      <c r="V430" s="31"/>
      <c r="W430" s="31"/>
      <c r="X430" s="31"/>
      <c r="Y430" s="31"/>
      <c r="Z430" s="31"/>
      <c r="AA430" s="31"/>
      <c r="AB430" s="31"/>
      <c r="AC430" s="31"/>
      <c r="AD430" s="31"/>
      <c r="AE430" s="31"/>
      <c r="AR430" s="147" t="s">
        <v>200</v>
      </c>
      <c r="AT430" s="147" t="s">
        <v>141</v>
      </c>
      <c r="AU430" s="147" t="s">
        <v>82</v>
      </c>
      <c r="AY430" s="19" t="s">
        <v>138</v>
      </c>
      <c r="BE430" s="148">
        <f>IF(N430="základní",J430,0)</f>
        <v>0</v>
      </c>
      <c r="BF430" s="148">
        <f>IF(N430="snížená",J430,0)</f>
        <v>0</v>
      </c>
      <c r="BG430" s="148">
        <f>IF(N430="zákl. přenesená",J430,0)</f>
        <v>0</v>
      </c>
      <c r="BH430" s="148">
        <f>IF(N430="sníž. přenesená",J430,0)</f>
        <v>0</v>
      </c>
      <c r="BI430" s="148">
        <f>IF(N430="nulová",J430,0)</f>
        <v>0</v>
      </c>
      <c r="BJ430" s="19" t="s">
        <v>80</v>
      </c>
      <c r="BK430" s="148">
        <f>ROUND(I430*H430,2)</f>
        <v>0</v>
      </c>
      <c r="BL430" s="19" t="s">
        <v>200</v>
      </c>
      <c r="BM430" s="147" t="s">
        <v>404</v>
      </c>
    </row>
    <row r="431" spans="1:65" s="2" customFormat="1" ht="48.75">
      <c r="A431" s="31"/>
      <c r="B431" s="32"/>
      <c r="C431" s="31"/>
      <c r="D431" s="150" t="s">
        <v>149</v>
      </c>
      <c r="E431" s="31"/>
      <c r="F431" s="163" t="s">
        <v>405</v>
      </c>
      <c r="G431" s="31"/>
      <c r="H431" s="31"/>
      <c r="I431" s="279"/>
      <c r="J431" s="31"/>
      <c r="K431" s="31"/>
      <c r="L431" s="32"/>
      <c r="M431" s="164"/>
      <c r="N431" s="165"/>
      <c r="O431" s="52"/>
      <c r="P431" s="52"/>
      <c r="Q431" s="52"/>
      <c r="R431" s="52"/>
      <c r="S431" s="52"/>
      <c r="T431" s="53"/>
      <c r="U431" s="31"/>
      <c r="V431" s="31"/>
      <c r="W431" s="31"/>
      <c r="X431" s="31"/>
      <c r="Y431" s="31"/>
      <c r="Z431" s="31"/>
      <c r="AA431" s="31"/>
      <c r="AB431" s="31"/>
      <c r="AC431" s="31"/>
      <c r="AD431" s="31"/>
      <c r="AE431" s="31"/>
      <c r="AT431" s="19" t="s">
        <v>149</v>
      </c>
      <c r="AU431" s="19" t="s">
        <v>82</v>
      </c>
    </row>
    <row r="432" spans="1:65" s="13" customFormat="1">
      <c r="B432" s="149"/>
      <c r="D432" s="150" t="s">
        <v>145</v>
      </c>
      <c r="E432" s="151" t="s">
        <v>3</v>
      </c>
      <c r="F432" s="152" t="s">
        <v>218</v>
      </c>
      <c r="H432" s="151" t="s">
        <v>3</v>
      </c>
      <c r="I432" s="282"/>
      <c r="L432" s="149"/>
      <c r="M432" s="153"/>
      <c r="N432" s="154"/>
      <c r="O432" s="154"/>
      <c r="P432" s="154"/>
      <c r="Q432" s="154"/>
      <c r="R432" s="154"/>
      <c r="S432" s="154"/>
      <c r="T432" s="155"/>
      <c r="AT432" s="151" t="s">
        <v>145</v>
      </c>
      <c r="AU432" s="151" t="s">
        <v>82</v>
      </c>
      <c r="AV432" s="13" t="s">
        <v>80</v>
      </c>
      <c r="AW432" s="13" t="s">
        <v>34</v>
      </c>
      <c r="AX432" s="13" t="s">
        <v>72</v>
      </c>
      <c r="AY432" s="151" t="s">
        <v>138</v>
      </c>
    </row>
    <row r="433" spans="1:65" s="13" customFormat="1">
      <c r="B433" s="149"/>
      <c r="D433" s="150" t="s">
        <v>145</v>
      </c>
      <c r="E433" s="151" t="s">
        <v>3</v>
      </c>
      <c r="F433" s="152" t="s">
        <v>156</v>
      </c>
      <c r="H433" s="151" t="s">
        <v>3</v>
      </c>
      <c r="I433" s="282"/>
      <c r="L433" s="149"/>
      <c r="M433" s="153"/>
      <c r="N433" s="154"/>
      <c r="O433" s="154"/>
      <c r="P433" s="154"/>
      <c r="Q433" s="154"/>
      <c r="R433" s="154"/>
      <c r="S433" s="154"/>
      <c r="T433" s="155"/>
      <c r="AT433" s="151" t="s">
        <v>145</v>
      </c>
      <c r="AU433" s="151" t="s">
        <v>82</v>
      </c>
      <c r="AV433" s="13" t="s">
        <v>80</v>
      </c>
      <c r="AW433" s="13" t="s">
        <v>34</v>
      </c>
      <c r="AX433" s="13" t="s">
        <v>72</v>
      </c>
      <c r="AY433" s="151" t="s">
        <v>138</v>
      </c>
    </row>
    <row r="434" spans="1:65" s="14" customFormat="1">
      <c r="B434" s="156"/>
      <c r="D434" s="150" t="s">
        <v>145</v>
      </c>
      <c r="E434" s="157" t="s">
        <v>3</v>
      </c>
      <c r="F434" s="158" t="s">
        <v>1516</v>
      </c>
      <c r="H434" s="159">
        <f>29.36+13.68+11.96+13.28+14.78+15.34+17.36</f>
        <v>115.76</v>
      </c>
      <c r="I434" s="280"/>
      <c r="L434" s="156"/>
      <c r="M434" s="160"/>
      <c r="N434" s="161"/>
      <c r="O434" s="161"/>
      <c r="P434" s="161"/>
      <c r="Q434" s="161"/>
      <c r="R434" s="161"/>
      <c r="S434" s="161"/>
      <c r="T434" s="162"/>
      <c r="AT434" s="157" t="s">
        <v>145</v>
      </c>
      <c r="AU434" s="157" t="s">
        <v>82</v>
      </c>
      <c r="AV434" s="14" t="s">
        <v>82</v>
      </c>
      <c r="AW434" s="14" t="s">
        <v>34</v>
      </c>
      <c r="AX434" s="14" t="s">
        <v>72</v>
      </c>
      <c r="AY434" s="157" t="s">
        <v>138</v>
      </c>
    </row>
    <row r="435" spans="1:65" s="13" customFormat="1">
      <c r="B435" s="149"/>
      <c r="D435" s="150" t="s">
        <v>145</v>
      </c>
      <c r="E435" s="151" t="s">
        <v>3</v>
      </c>
      <c r="F435" s="152" t="s">
        <v>157</v>
      </c>
      <c r="H435" s="151" t="s">
        <v>3</v>
      </c>
      <c r="I435" s="282"/>
      <c r="L435" s="149"/>
      <c r="M435" s="153"/>
      <c r="N435" s="154"/>
      <c r="O435" s="154"/>
      <c r="P435" s="154"/>
      <c r="Q435" s="154"/>
      <c r="R435" s="154"/>
      <c r="S435" s="154"/>
      <c r="T435" s="155"/>
      <c r="AT435" s="151" t="s">
        <v>145</v>
      </c>
      <c r="AU435" s="151" t="s">
        <v>82</v>
      </c>
      <c r="AV435" s="13" t="s">
        <v>80</v>
      </c>
      <c r="AW435" s="13" t="s">
        <v>34</v>
      </c>
      <c r="AX435" s="13" t="s">
        <v>72</v>
      </c>
      <c r="AY435" s="151" t="s">
        <v>138</v>
      </c>
    </row>
    <row r="436" spans="1:65" s="14" customFormat="1">
      <c r="B436" s="156"/>
      <c r="D436" s="150" t="s">
        <v>145</v>
      </c>
      <c r="E436" s="157" t="s">
        <v>3</v>
      </c>
      <c r="F436" s="158" t="s">
        <v>1520</v>
      </c>
      <c r="H436" s="159">
        <f>22.64+15.481+17.36+9.76+15.36+19.219</f>
        <v>99.82</v>
      </c>
      <c r="I436" s="280"/>
      <c r="L436" s="156"/>
      <c r="M436" s="160"/>
      <c r="N436" s="161"/>
      <c r="O436" s="161"/>
      <c r="P436" s="161"/>
      <c r="Q436" s="161"/>
      <c r="R436" s="161"/>
      <c r="S436" s="161"/>
      <c r="T436" s="162"/>
      <c r="AT436" s="157" t="s">
        <v>145</v>
      </c>
      <c r="AU436" s="157" t="s">
        <v>82</v>
      </c>
      <c r="AV436" s="14" t="s">
        <v>82</v>
      </c>
      <c r="AW436" s="14" t="s">
        <v>34</v>
      </c>
      <c r="AX436" s="14" t="s">
        <v>72</v>
      </c>
      <c r="AY436" s="157" t="s">
        <v>138</v>
      </c>
    </row>
    <row r="437" spans="1:65" s="15" customFormat="1">
      <c r="B437" s="166"/>
      <c r="D437" s="150" t="s">
        <v>145</v>
      </c>
      <c r="E437" s="167" t="s">
        <v>3</v>
      </c>
      <c r="F437" s="168" t="s">
        <v>151</v>
      </c>
      <c r="H437" s="169">
        <f>H434+H436</f>
        <v>215.57999999999998</v>
      </c>
      <c r="I437" s="284"/>
      <c r="L437" s="166"/>
      <c r="M437" s="170"/>
      <c r="N437" s="171"/>
      <c r="O437" s="171"/>
      <c r="P437" s="171"/>
      <c r="Q437" s="171"/>
      <c r="R437" s="171"/>
      <c r="S437" s="171"/>
      <c r="T437" s="172"/>
      <c r="AT437" s="167" t="s">
        <v>145</v>
      </c>
      <c r="AU437" s="167" t="s">
        <v>82</v>
      </c>
      <c r="AV437" s="15" t="s">
        <v>144</v>
      </c>
      <c r="AW437" s="15" t="s">
        <v>34</v>
      </c>
      <c r="AX437" s="15" t="s">
        <v>80</v>
      </c>
      <c r="AY437" s="167" t="s">
        <v>138</v>
      </c>
    </row>
    <row r="438" spans="1:65" s="2" customFormat="1" ht="24.2" customHeight="1">
      <c r="A438" s="31"/>
      <c r="B438" s="136"/>
      <c r="C438" s="173">
        <v>71</v>
      </c>
      <c r="D438" s="173" t="s">
        <v>164</v>
      </c>
      <c r="E438" s="174" t="s">
        <v>406</v>
      </c>
      <c r="F438" s="175" t="s">
        <v>407</v>
      </c>
      <c r="G438" s="176" t="s">
        <v>187</v>
      </c>
      <c r="H438" s="177">
        <f>H440</f>
        <v>237.13800000000001</v>
      </c>
      <c r="I438" s="281"/>
      <c r="J438" s="178">
        <f>ROUND(I438*H438,2)</f>
        <v>0</v>
      </c>
      <c r="K438" s="175" t="s">
        <v>143</v>
      </c>
      <c r="L438" s="179"/>
      <c r="M438" s="180" t="s">
        <v>3</v>
      </c>
      <c r="N438" s="181" t="s">
        <v>43</v>
      </c>
      <c r="O438" s="145">
        <v>0</v>
      </c>
      <c r="P438" s="145">
        <f>O438*H438</f>
        <v>0</v>
      </c>
      <c r="Q438" s="145">
        <v>2.7999999999999998E-4</v>
      </c>
      <c r="R438" s="145">
        <f>Q438*H438</f>
        <v>6.6398639999999995E-2</v>
      </c>
      <c r="S438" s="145">
        <v>0</v>
      </c>
      <c r="T438" s="146">
        <f>S438*H438</f>
        <v>0</v>
      </c>
      <c r="U438" s="31"/>
      <c r="V438" s="31"/>
      <c r="W438" s="31"/>
      <c r="X438" s="31"/>
      <c r="Y438" s="31"/>
      <c r="Z438" s="31"/>
      <c r="AA438" s="31"/>
      <c r="AB438" s="31"/>
      <c r="AC438" s="31"/>
      <c r="AD438" s="31"/>
      <c r="AE438" s="31"/>
      <c r="AR438" s="147" t="s">
        <v>224</v>
      </c>
      <c r="AT438" s="147" t="s">
        <v>164</v>
      </c>
      <c r="AU438" s="147" t="s">
        <v>82</v>
      </c>
      <c r="AY438" s="19" t="s">
        <v>138</v>
      </c>
      <c r="BE438" s="148">
        <f>IF(N438="základní",J438,0)</f>
        <v>0</v>
      </c>
      <c r="BF438" s="148">
        <f>IF(N438="snížená",J438,0)</f>
        <v>0</v>
      </c>
      <c r="BG438" s="148">
        <f>IF(N438="zákl. přenesená",J438,0)</f>
        <v>0</v>
      </c>
      <c r="BH438" s="148">
        <f>IF(N438="sníž. přenesená",J438,0)</f>
        <v>0</v>
      </c>
      <c r="BI438" s="148">
        <f>IF(N438="nulová",J438,0)</f>
        <v>0</v>
      </c>
      <c r="BJ438" s="19" t="s">
        <v>80</v>
      </c>
      <c r="BK438" s="148">
        <f>ROUND(I438*H438,2)</f>
        <v>0</v>
      </c>
      <c r="BL438" s="19" t="s">
        <v>200</v>
      </c>
      <c r="BM438" s="147" t="s">
        <v>408</v>
      </c>
    </row>
    <row r="439" spans="1:65" s="2" customFormat="1" ht="29.25">
      <c r="A439" s="31"/>
      <c r="B439" s="32"/>
      <c r="C439" s="31"/>
      <c r="D439" s="150" t="s">
        <v>242</v>
      </c>
      <c r="E439" s="31"/>
      <c r="F439" s="163" t="s">
        <v>401</v>
      </c>
      <c r="G439" s="31"/>
      <c r="H439" s="31"/>
      <c r="I439" s="279"/>
      <c r="J439" s="31"/>
      <c r="K439" s="31"/>
      <c r="L439" s="32"/>
      <c r="M439" s="164"/>
      <c r="N439" s="165"/>
      <c r="O439" s="52"/>
      <c r="P439" s="52"/>
      <c r="Q439" s="52"/>
      <c r="R439" s="52"/>
      <c r="S439" s="52"/>
      <c r="T439" s="53"/>
      <c r="U439" s="31"/>
      <c r="V439" s="31"/>
      <c r="W439" s="31"/>
      <c r="X439" s="31"/>
      <c r="Y439" s="31"/>
      <c r="Z439" s="31"/>
      <c r="AA439" s="31"/>
      <c r="AB439" s="31"/>
      <c r="AC439" s="31"/>
      <c r="AD439" s="31"/>
      <c r="AE439" s="31"/>
      <c r="AT439" s="19" t="s">
        <v>242</v>
      </c>
      <c r="AU439" s="19" t="s">
        <v>82</v>
      </c>
    </row>
    <row r="440" spans="1:65" s="14" customFormat="1">
      <c r="B440" s="156"/>
      <c r="D440" s="150" t="s">
        <v>145</v>
      </c>
      <c r="F440" s="158" t="s">
        <v>1521</v>
      </c>
      <c r="H440" s="159">
        <f>H430*1.1</f>
        <v>237.13800000000001</v>
      </c>
      <c r="I440" s="280"/>
      <c r="L440" s="156"/>
      <c r="M440" s="160"/>
      <c r="N440" s="161"/>
      <c r="O440" s="161"/>
      <c r="P440" s="161"/>
      <c r="Q440" s="161"/>
      <c r="R440" s="161"/>
      <c r="S440" s="161"/>
      <c r="T440" s="162"/>
      <c r="AT440" s="157" t="s">
        <v>145</v>
      </c>
      <c r="AU440" s="157" t="s">
        <v>82</v>
      </c>
      <c r="AV440" s="14" t="s">
        <v>82</v>
      </c>
      <c r="AW440" s="14" t="s">
        <v>4</v>
      </c>
      <c r="AX440" s="14" t="s">
        <v>80</v>
      </c>
      <c r="AY440" s="157" t="s">
        <v>138</v>
      </c>
    </row>
    <row r="441" spans="1:65" s="2" customFormat="1" ht="14.45" customHeight="1">
      <c r="A441" s="31"/>
      <c r="B441" s="136"/>
      <c r="C441" s="137">
        <v>72</v>
      </c>
      <c r="D441" s="137" t="s">
        <v>141</v>
      </c>
      <c r="E441" s="138" t="s">
        <v>409</v>
      </c>
      <c r="F441" s="139" t="s">
        <v>410</v>
      </c>
      <c r="G441" s="140" t="s">
        <v>187</v>
      </c>
      <c r="H441" s="141">
        <f>H446</f>
        <v>6</v>
      </c>
      <c r="I441" s="278"/>
      <c r="J441" s="142">
        <f>ROUND(I441*H441,2)</f>
        <v>0</v>
      </c>
      <c r="K441" s="139" t="s">
        <v>148</v>
      </c>
      <c r="L441" s="32"/>
      <c r="M441" s="143" t="s">
        <v>3</v>
      </c>
      <c r="N441" s="144" t="s">
        <v>43</v>
      </c>
      <c r="O441" s="145">
        <v>0.12</v>
      </c>
      <c r="P441" s="145">
        <f>O441*H441</f>
        <v>0.72</v>
      </c>
      <c r="Q441" s="145">
        <v>4.0000000000000003E-5</v>
      </c>
      <c r="R441" s="145">
        <f>Q441*H441</f>
        <v>2.4000000000000003E-4</v>
      </c>
      <c r="S441" s="145">
        <v>0</v>
      </c>
      <c r="T441" s="146">
        <f>S441*H441</f>
        <v>0</v>
      </c>
      <c r="U441" s="31"/>
      <c r="V441" s="31"/>
      <c r="W441" s="31"/>
      <c r="X441" s="31"/>
      <c r="Y441" s="31"/>
      <c r="Z441" s="31"/>
      <c r="AA441" s="31"/>
      <c r="AB441" s="31"/>
      <c r="AC441" s="31"/>
      <c r="AD441" s="31"/>
      <c r="AE441" s="31"/>
      <c r="AR441" s="147" t="s">
        <v>200</v>
      </c>
      <c r="AT441" s="147" t="s">
        <v>141</v>
      </c>
      <c r="AU441" s="147" t="s">
        <v>82</v>
      </c>
      <c r="AY441" s="19" t="s">
        <v>138</v>
      </c>
      <c r="BE441" s="148">
        <f>IF(N441="základní",J441,0)</f>
        <v>0</v>
      </c>
      <c r="BF441" s="148">
        <f>IF(N441="snížená",J441,0)</f>
        <v>0</v>
      </c>
      <c r="BG441" s="148">
        <f>IF(N441="zákl. přenesená",J441,0)</f>
        <v>0</v>
      </c>
      <c r="BH441" s="148">
        <f>IF(N441="sníž. přenesená",J441,0)</f>
        <v>0</v>
      </c>
      <c r="BI441" s="148">
        <f>IF(N441="nulová",J441,0)</f>
        <v>0</v>
      </c>
      <c r="BJ441" s="19" t="s">
        <v>80</v>
      </c>
      <c r="BK441" s="148">
        <f>ROUND(I441*H441,2)</f>
        <v>0</v>
      </c>
      <c r="BL441" s="19" t="s">
        <v>200</v>
      </c>
      <c r="BM441" s="147" t="s">
        <v>411</v>
      </c>
    </row>
    <row r="442" spans="1:65" s="2" customFormat="1" ht="48.75">
      <c r="A442" s="31"/>
      <c r="B442" s="32"/>
      <c r="C442" s="31"/>
      <c r="D442" s="150" t="s">
        <v>149</v>
      </c>
      <c r="E442" s="31"/>
      <c r="F442" s="163" t="s">
        <v>412</v>
      </c>
      <c r="G442" s="31"/>
      <c r="H442" s="31"/>
      <c r="I442" s="279"/>
      <c r="J442" s="31"/>
      <c r="K442" s="31"/>
      <c r="L442" s="32"/>
      <c r="M442" s="164"/>
      <c r="N442" s="165"/>
      <c r="O442" s="52"/>
      <c r="P442" s="52"/>
      <c r="Q442" s="52"/>
      <c r="R442" s="52"/>
      <c r="S442" s="52"/>
      <c r="T442" s="53"/>
      <c r="U442" s="31"/>
      <c r="V442" s="31"/>
      <c r="W442" s="31"/>
      <c r="X442" s="31"/>
      <c r="Y442" s="31"/>
      <c r="Z442" s="31"/>
      <c r="AA442" s="31"/>
      <c r="AB442" s="31"/>
      <c r="AC442" s="31"/>
      <c r="AD442" s="31"/>
      <c r="AE442" s="31"/>
      <c r="AT442" s="19" t="s">
        <v>149</v>
      </c>
      <c r="AU442" s="19" t="s">
        <v>82</v>
      </c>
    </row>
    <row r="443" spans="1:65" s="13" customFormat="1">
      <c r="B443" s="149"/>
      <c r="D443" s="150" t="s">
        <v>145</v>
      </c>
      <c r="E443" s="151" t="s">
        <v>3</v>
      </c>
      <c r="F443" s="152" t="s">
        <v>218</v>
      </c>
      <c r="H443" s="151" t="s">
        <v>3</v>
      </c>
      <c r="I443" s="282"/>
      <c r="L443" s="149"/>
      <c r="M443" s="153"/>
      <c r="N443" s="154"/>
      <c r="O443" s="154"/>
      <c r="P443" s="154"/>
      <c r="Q443" s="154"/>
      <c r="R443" s="154"/>
      <c r="S443" s="154"/>
      <c r="T443" s="155"/>
      <c r="AT443" s="151" t="s">
        <v>145</v>
      </c>
      <c r="AU443" s="151" t="s">
        <v>82</v>
      </c>
      <c r="AV443" s="13" t="s">
        <v>80</v>
      </c>
      <c r="AW443" s="13" t="s">
        <v>34</v>
      </c>
      <c r="AX443" s="13" t="s">
        <v>72</v>
      </c>
      <c r="AY443" s="151" t="s">
        <v>138</v>
      </c>
    </row>
    <row r="444" spans="1:65" s="14" customFormat="1">
      <c r="B444" s="156"/>
      <c r="D444" s="150" t="s">
        <v>145</v>
      </c>
      <c r="E444" s="157" t="s">
        <v>3</v>
      </c>
      <c r="F444" s="158" t="s">
        <v>1522</v>
      </c>
      <c r="H444" s="159">
        <v>3</v>
      </c>
      <c r="I444" s="280"/>
      <c r="L444" s="156"/>
      <c r="M444" s="160"/>
      <c r="N444" s="161"/>
      <c r="O444" s="161"/>
      <c r="P444" s="161"/>
      <c r="Q444" s="161"/>
      <c r="R444" s="161"/>
      <c r="S444" s="161"/>
      <c r="T444" s="162"/>
      <c r="AT444" s="157" t="s">
        <v>145</v>
      </c>
      <c r="AU444" s="157" t="s">
        <v>82</v>
      </c>
      <c r="AV444" s="14" t="s">
        <v>82</v>
      </c>
      <c r="AW444" s="14" t="s">
        <v>34</v>
      </c>
      <c r="AX444" s="14" t="s">
        <v>72</v>
      </c>
      <c r="AY444" s="157" t="s">
        <v>138</v>
      </c>
    </row>
    <row r="445" spans="1:65" s="14" customFormat="1">
      <c r="B445" s="156"/>
      <c r="D445" s="150" t="s">
        <v>145</v>
      </c>
      <c r="E445" s="157" t="s">
        <v>3</v>
      </c>
      <c r="F445" s="158" t="s">
        <v>1523</v>
      </c>
      <c r="H445" s="159">
        <v>3</v>
      </c>
      <c r="I445" s="280"/>
      <c r="L445" s="156"/>
      <c r="M445" s="160"/>
      <c r="N445" s="161"/>
      <c r="O445" s="161"/>
      <c r="P445" s="161"/>
      <c r="Q445" s="161"/>
      <c r="R445" s="161"/>
      <c r="S445" s="161"/>
      <c r="T445" s="162"/>
      <c r="AT445" s="157" t="s">
        <v>145</v>
      </c>
      <c r="AU445" s="157" t="s">
        <v>82</v>
      </c>
      <c r="AV445" s="14" t="s">
        <v>82</v>
      </c>
      <c r="AW445" s="14" t="s">
        <v>34</v>
      </c>
      <c r="AX445" s="14" t="s">
        <v>72</v>
      </c>
      <c r="AY445" s="157" t="s">
        <v>138</v>
      </c>
    </row>
    <row r="446" spans="1:65" s="15" customFormat="1">
      <c r="B446" s="166"/>
      <c r="D446" s="150" t="s">
        <v>145</v>
      </c>
      <c r="E446" s="167" t="s">
        <v>3</v>
      </c>
      <c r="F446" s="168" t="s">
        <v>151</v>
      </c>
      <c r="H446" s="169">
        <v>6</v>
      </c>
      <c r="I446" s="284"/>
      <c r="L446" s="166"/>
      <c r="M446" s="170"/>
      <c r="N446" s="171"/>
      <c r="O446" s="171"/>
      <c r="P446" s="171"/>
      <c r="Q446" s="171"/>
      <c r="R446" s="171"/>
      <c r="S446" s="171"/>
      <c r="T446" s="172"/>
      <c r="AT446" s="167" t="s">
        <v>145</v>
      </c>
      <c r="AU446" s="167" t="s">
        <v>82</v>
      </c>
      <c r="AV446" s="15" t="s">
        <v>144</v>
      </c>
      <c r="AW446" s="15" t="s">
        <v>34</v>
      </c>
      <c r="AX446" s="15" t="s">
        <v>80</v>
      </c>
      <c r="AY446" s="167" t="s">
        <v>138</v>
      </c>
    </row>
    <row r="447" spans="1:65" s="2" customFormat="1" ht="14.45" customHeight="1">
      <c r="A447" s="31"/>
      <c r="B447" s="136"/>
      <c r="C447" s="173">
        <v>73</v>
      </c>
      <c r="D447" s="173" t="s">
        <v>164</v>
      </c>
      <c r="E447" s="174" t="s">
        <v>413</v>
      </c>
      <c r="F447" s="175" t="s">
        <v>414</v>
      </c>
      <c r="G447" s="176" t="s">
        <v>187</v>
      </c>
      <c r="H447" s="177">
        <f>H441</f>
        <v>6</v>
      </c>
      <c r="I447" s="281"/>
      <c r="J447" s="178">
        <f>ROUND(I447*H447,2)</f>
        <v>0</v>
      </c>
      <c r="K447" s="175" t="s">
        <v>143</v>
      </c>
      <c r="L447" s="179"/>
      <c r="M447" s="180" t="s">
        <v>3</v>
      </c>
      <c r="N447" s="181" t="s">
        <v>43</v>
      </c>
      <c r="O447" s="145">
        <v>0</v>
      </c>
      <c r="P447" s="145">
        <f>O447*H447</f>
        <v>0</v>
      </c>
      <c r="Q447" s="145">
        <v>1.7000000000000001E-4</v>
      </c>
      <c r="R447" s="145">
        <f>Q447*H447</f>
        <v>1.0200000000000001E-3</v>
      </c>
      <c r="S447" s="145">
        <v>0</v>
      </c>
      <c r="T447" s="146">
        <f>S447*H447</f>
        <v>0</v>
      </c>
      <c r="U447" s="31"/>
      <c r="V447" s="31"/>
      <c r="W447" s="31"/>
      <c r="X447" s="31"/>
      <c r="Y447" s="31"/>
      <c r="Z447" s="31"/>
      <c r="AA447" s="31"/>
      <c r="AB447" s="31"/>
      <c r="AC447" s="31"/>
      <c r="AD447" s="31"/>
      <c r="AE447" s="31"/>
      <c r="AR447" s="147" t="s">
        <v>224</v>
      </c>
      <c r="AT447" s="147" t="s">
        <v>164</v>
      </c>
      <c r="AU447" s="147" t="s">
        <v>82</v>
      </c>
      <c r="AY447" s="19" t="s">
        <v>138</v>
      </c>
      <c r="BE447" s="148">
        <f>IF(N447="základní",J447,0)</f>
        <v>0</v>
      </c>
      <c r="BF447" s="148">
        <f>IF(N447="snížená",J447,0)</f>
        <v>0</v>
      </c>
      <c r="BG447" s="148">
        <f>IF(N447="zákl. přenesená",J447,0)</f>
        <v>0</v>
      </c>
      <c r="BH447" s="148">
        <f>IF(N447="sníž. přenesená",J447,0)</f>
        <v>0</v>
      </c>
      <c r="BI447" s="148">
        <f>IF(N447="nulová",J447,0)</f>
        <v>0</v>
      </c>
      <c r="BJ447" s="19" t="s">
        <v>80</v>
      </c>
      <c r="BK447" s="148">
        <f>ROUND(I447*H447,2)</f>
        <v>0</v>
      </c>
      <c r="BL447" s="19" t="s">
        <v>200</v>
      </c>
      <c r="BM447" s="147" t="s">
        <v>415</v>
      </c>
    </row>
    <row r="448" spans="1:65" s="2" customFormat="1" ht="24.2" customHeight="1">
      <c r="A448" s="31"/>
      <c r="B448" s="136"/>
      <c r="C448" s="137">
        <v>74</v>
      </c>
      <c r="D448" s="137" t="s">
        <v>141</v>
      </c>
      <c r="E448" s="138" t="s">
        <v>423</v>
      </c>
      <c r="F448" s="139" t="s">
        <v>424</v>
      </c>
      <c r="G448" s="140" t="s">
        <v>173</v>
      </c>
      <c r="H448" s="141">
        <f>H455</f>
        <v>165.22</v>
      </c>
      <c r="I448" s="278"/>
      <c r="J448" s="142">
        <f>ROUND(I448*H448,2)</f>
        <v>0</v>
      </c>
      <c r="K448" s="139" t="s">
        <v>148</v>
      </c>
      <c r="L448" s="32"/>
      <c r="M448" s="143" t="s">
        <v>3</v>
      </c>
      <c r="N448" s="144" t="s">
        <v>43</v>
      </c>
      <c r="O448" s="145">
        <v>0.105</v>
      </c>
      <c r="P448" s="145">
        <f>O448*H448</f>
        <v>17.348099999999999</v>
      </c>
      <c r="Q448" s="145">
        <v>0</v>
      </c>
      <c r="R448" s="145">
        <f>Q448*H448</f>
        <v>0</v>
      </c>
      <c r="S448" s="145">
        <v>2.5000000000000001E-3</v>
      </c>
      <c r="T448" s="146">
        <f>S448*H448</f>
        <v>0.41305000000000003</v>
      </c>
      <c r="U448" s="31"/>
      <c r="V448" s="31"/>
      <c r="W448" s="31"/>
      <c r="X448" s="31"/>
      <c r="Y448" s="31"/>
      <c r="Z448" s="31"/>
      <c r="AA448" s="31"/>
      <c r="AB448" s="31"/>
      <c r="AC448" s="31"/>
      <c r="AD448" s="31"/>
      <c r="AE448" s="31"/>
      <c r="AR448" s="147" t="s">
        <v>200</v>
      </c>
      <c r="AT448" s="147" t="s">
        <v>141</v>
      </c>
      <c r="AU448" s="147" t="s">
        <v>82</v>
      </c>
      <c r="AY448" s="19" t="s">
        <v>138</v>
      </c>
      <c r="BE448" s="148">
        <f>IF(N448="základní",J448,0)</f>
        <v>0</v>
      </c>
      <c r="BF448" s="148">
        <f>IF(N448="snížená",J448,0)</f>
        <v>0</v>
      </c>
      <c r="BG448" s="148">
        <f>IF(N448="zákl. přenesená",J448,0)</f>
        <v>0</v>
      </c>
      <c r="BH448" s="148">
        <f>IF(N448="sníž. přenesená",J448,0)</f>
        <v>0</v>
      </c>
      <c r="BI448" s="148">
        <f>IF(N448="nulová",J448,0)</f>
        <v>0</v>
      </c>
      <c r="BJ448" s="19" t="s">
        <v>80</v>
      </c>
      <c r="BK448" s="148">
        <f>ROUND(I448*H448,2)</f>
        <v>0</v>
      </c>
      <c r="BL448" s="19" t="s">
        <v>200</v>
      </c>
      <c r="BM448" s="147" t="s">
        <v>425</v>
      </c>
    </row>
    <row r="449" spans="1:65" s="2" customFormat="1" ht="19.5">
      <c r="A449" s="31"/>
      <c r="B449" s="32"/>
      <c r="C449" s="31"/>
      <c r="D449" s="150" t="s">
        <v>242</v>
      </c>
      <c r="E449" s="31"/>
      <c r="F449" s="163" t="s">
        <v>426</v>
      </c>
      <c r="G449" s="31"/>
      <c r="H449" s="31"/>
      <c r="I449" s="279"/>
      <c r="J449" s="31"/>
      <c r="K449" s="31"/>
      <c r="L449" s="32"/>
      <c r="M449" s="164"/>
      <c r="N449" s="165"/>
      <c r="O449" s="52"/>
      <c r="P449" s="52"/>
      <c r="Q449" s="52"/>
      <c r="R449" s="52"/>
      <c r="S449" s="52"/>
      <c r="T449" s="53"/>
      <c r="U449" s="31"/>
      <c r="V449" s="31"/>
      <c r="W449" s="31"/>
      <c r="X449" s="31"/>
      <c r="Y449" s="31"/>
      <c r="Z449" s="31"/>
      <c r="AA449" s="31"/>
      <c r="AB449" s="31"/>
      <c r="AC449" s="31"/>
      <c r="AD449" s="31"/>
      <c r="AE449" s="31"/>
      <c r="AT449" s="19" t="s">
        <v>242</v>
      </c>
      <c r="AU449" s="19" t="s">
        <v>82</v>
      </c>
    </row>
    <row r="450" spans="1:65" s="13" customFormat="1" ht="22.5">
      <c r="B450" s="149"/>
      <c r="D450" s="150" t="s">
        <v>145</v>
      </c>
      <c r="E450" s="151" t="s">
        <v>3</v>
      </c>
      <c r="F450" s="152" t="s">
        <v>211</v>
      </c>
      <c r="H450" s="151" t="s">
        <v>3</v>
      </c>
      <c r="I450" s="282"/>
      <c r="L450" s="149"/>
      <c r="M450" s="153"/>
      <c r="N450" s="154"/>
      <c r="O450" s="154"/>
      <c r="P450" s="154"/>
      <c r="Q450" s="154"/>
      <c r="R450" s="154"/>
      <c r="S450" s="154"/>
      <c r="T450" s="155"/>
      <c r="AT450" s="151" t="s">
        <v>145</v>
      </c>
      <c r="AU450" s="151" t="s">
        <v>82</v>
      </c>
      <c r="AV450" s="13" t="s">
        <v>80</v>
      </c>
      <c r="AW450" s="13" t="s">
        <v>34</v>
      </c>
      <c r="AX450" s="13" t="s">
        <v>72</v>
      </c>
      <c r="AY450" s="151" t="s">
        <v>138</v>
      </c>
    </row>
    <row r="451" spans="1:65" s="13" customFormat="1">
      <c r="B451" s="149"/>
      <c r="D451" s="150" t="s">
        <v>145</v>
      </c>
      <c r="E451" s="151" t="s">
        <v>3</v>
      </c>
      <c r="F451" s="152" t="s">
        <v>156</v>
      </c>
      <c r="H451" s="151" t="s">
        <v>3</v>
      </c>
      <c r="I451" s="282"/>
      <c r="L451" s="149"/>
      <c r="M451" s="153"/>
      <c r="N451" s="154"/>
      <c r="O451" s="154"/>
      <c r="P451" s="154"/>
      <c r="Q451" s="154"/>
      <c r="R451" s="154"/>
      <c r="S451" s="154"/>
      <c r="T451" s="155"/>
      <c r="AT451" s="151" t="s">
        <v>145</v>
      </c>
      <c r="AU451" s="151" t="s">
        <v>82</v>
      </c>
      <c r="AV451" s="13" t="s">
        <v>80</v>
      </c>
      <c r="AW451" s="13" t="s">
        <v>34</v>
      </c>
      <c r="AX451" s="13" t="s">
        <v>72</v>
      </c>
      <c r="AY451" s="151" t="s">
        <v>138</v>
      </c>
    </row>
    <row r="452" spans="1:65" s="14" customFormat="1">
      <c r="B452" s="156"/>
      <c r="D452" s="150" t="s">
        <v>145</v>
      </c>
      <c r="E452" s="157" t="s">
        <v>3</v>
      </c>
      <c r="F452" s="158" t="s">
        <v>1429</v>
      </c>
      <c r="H452" s="159">
        <f>3.69+9.26+8.59+10.95+11.36+8.13+17.82+12.48</f>
        <v>82.28</v>
      </c>
      <c r="I452" s="280"/>
      <c r="L452" s="156"/>
      <c r="M452" s="160"/>
      <c r="N452" s="161"/>
      <c r="O452" s="161"/>
      <c r="P452" s="161"/>
      <c r="Q452" s="161"/>
      <c r="R452" s="161"/>
      <c r="S452" s="161"/>
      <c r="T452" s="162"/>
      <c r="AT452" s="157" t="s">
        <v>145</v>
      </c>
      <c r="AU452" s="157" t="s">
        <v>82</v>
      </c>
      <c r="AV452" s="14" t="s">
        <v>82</v>
      </c>
      <c r="AW452" s="14" t="s">
        <v>34</v>
      </c>
      <c r="AX452" s="14" t="s">
        <v>72</v>
      </c>
      <c r="AY452" s="157" t="s">
        <v>138</v>
      </c>
    </row>
    <row r="453" spans="1:65" s="13" customFormat="1">
      <c r="B453" s="149"/>
      <c r="D453" s="150" t="s">
        <v>145</v>
      </c>
      <c r="E453" s="151" t="s">
        <v>3</v>
      </c>
      <c r="F453" s="152" t="s">
        <v>157</v>
      </c>
      <c r="H453" s="151" t="s">
        <v>3</v>
      </c>
      <c r="I453" s="282"/>
      <c r="L453" s="149"/>
      <c r="M453" s="153"/>
      <c r="N453" s="154"/>
      <c r="O453" s="154"/>
      <c r="P453" s="154"/>
      <c r="Q453" s="154"/>
      <c r="R453" s="154"/>
      <c r="S453" s="154"/>
      <c r="T453" s="155"/>
      <c r="AT453" s="151" t="s">
        <v>145</v>
      </c>
      <c r="AU453" s="151" t="s">
        <v>82</v>
      </c>
      <c r="AV453" s="13" t="s">
        <v>80</v>
      </c>
      <c r="AW453" s="13" t="s">
        <v>34</v>
      </c>
      <c r="AX453" s="13" t="s">
        <v>72</v>
      </c>
      <c r="AY453" s="151" t="s">
        <v>138</v>
      </c>
    </row>
    <row r="454" spans="1:65" s="14" customFormat="1">
      <c r="B454" s="156"/>
      <c r="D454" s="150" t="s">
        <v>145</v>
      </c>
      <c r="E454" s="157" t="s">
        <v>3</v>
      </c>
      <c r="F454" s="158" t="s">
        <v>1430</v>
      </c>
      <c r="H454" s="159">
        <f>6.41+16.68+15.09+20.12+23.44+1.2</f>
        <v>82.94</v>
      </c>
      <c r="I454" s="280"/>
      <c r="L454" s="156"/>
      <c r="M454" s="160"/>
      <c r="N454" s="161"/>
      <c r="O454" s="161"/>
      <c r="P454" s="161"/>
      <c r="Q454" s="161"/>
      <c r="R454" s="161"/>
      <c r="S454" s="161"/>
      <c r="T454" s="162"/>
      <c r="AT454" s="157" t="s">
        <v>145</v>
      </c>
      <c r="AU454" s="157" t="s">
        <v>82</v>
      </c>
      <c r="AV454" s="14" t="s">
        <v>82</v>
      </c>
      <c r="AW454" s="14" t="s">
        <v>34</v>
      </c>
      <c r="AX454" s="14" t="s">
        <v>72</v>
      </c>
      <c r="AY454" s="157" t="s">
        <v>138</v>
      </c>
    </row>
    <row r="455" spans="1:65" s="15" customFormat="1">
      <c r="B455" s="166"/>
      <c r="D455" s="150" t="s">
        <v>145</v>
      </c>
      <c r="E455" s="167" t="s">
        <v>3</v>
      </c>
      <c r="F455" s="168" t="s">
        <v>151</v>
      </c>
      <c r="H455" s="169">
        <f>H452+H454</f>
        <v>165.22</v>
      </c>
      <c r="I455" s="284"/>
      <c r="L455" s="166"/>
      <c r="M455" s="170"/>
      <c r="N455" s="171"/>
      <c r="O455" s="171"/>
      <c r="P455" s="171"/>
      <c r="Q455" s="171"/>
      <c r="R455" s="171"/>
      <c r="S455" s="171"/>
      <c r="T455" s="172"/>
      <c r="AT455" s="167" t="s">
        <v>145</v>
      </c>
      <c r="AU455" s="167" t="s">
        <v>82</v>
      </c>
      <c r="AV455" s="15" t="s">
        <v>144</v>
      </c>
      <c r="AW455" s="15" t="s">
        <v>34</v>
      </c>
      <c r="AX455" s="15" t="s">
        <v>80</v>
      </c>
      <c r="AY455" s="167" t="s">
        <v>138</v>
      </c>
    </row>
    <row r="456" spans="1:65" s="2" customFormat="1" ht="37.9" customHeight="1">
      <c r="A456" s="31"/>
      <c r="B456" s="136"/>
      <c r="C456" s="137">
        <v>75</v>
      </c>
      <c r="D456" s="137" t="s">
        <v>141</v>
      </c>
      <c r="E456" s="138" t="s">
        <v>416</v>
      </c>
      <c r="F456" s="139" t="s">
        <v>1277</v>
      </c>
      <c r="G456" s="140" t="s">
        <v>308</v>
      </c>
      <c r="H456" s="141">
        <f>SUM(J419:J455)/100</f>
        <v>0</v>
      </c>
      <c r="I456" s="278"/>
      <c r="J456" s="142">
        <f>ROUND(I456*H456,2)</f>
        <v>0</v>
      </c>
      <c r="K456" s="139" t="s">
        <v>148</v>
      </c>
      <c r="L456" s="32"/>
      <c r="M456" s="143" t="s">
        <v>3</v>
      </c>
      <c r="N456" s="144" t="s">
        <v>43</v>
      </c>
      <c r="O456" s="145">
        <v>0</v>
      </c>
      <c r="P456" s="145">
        <f>O456*H456</f>
        <v>0</v>
      </c>
      <c r="Q456" s="145">
        <v>0</v>
      </c>
      <c r="R456" s="145">
        <f>Q456*H456</f>
        <v>0</v>
      </c>
      <c r="S456" s="145">
        <v>0</v>
      </c>
      <c r="T456" s="146">
        <f>S456*H456</f>
        <v>0</v>
      </c>
      <c r="U456" s="31"/>
      <c r="V456" s="31"/>
      <c r="W456" s="31"/>
      <c r="X456" s="31"/>
      <c r="Y456" s="31"/>
      <c r="Z456" s="31"/>
      <c r="AA456" s="31"/>
      <c r="AB456" s="31"/>
      <c r="AC456" s="31"/>
      <c r="AD456" s="31"/>
      <c r="AE456" s="31"/>
      <c r="AR456" s="147" t="s">
        <v>200</v>
      </c>
      <c r="AT456" s="147" t="s">
        <v>141</v>
      </c>
      <c r="AU456" s="147" t="s">
        <v>82</v>
      </c>
      <c r="AY456" s="19" t="s">
        <v>138</v>
      </c>
      <c r="BE456" s="148">
        <f>IF(N456="základní",J456,0)</f>
        <v>0</v>
      </c>
      <c r="BF456" s="148">
        <f>IF(N456="snížená",J456,0)</f>
        <v>0</v>
      </c>
      <c r="BG456" s="148">
        <f>IF(N456="zákl. přenesená",J456,0)</f>
        <v>0</v>
      </c>
      <c r="BH456" s="148">
        <f>IF(N456="sníž. přenesená",J456,0)</f>
        <v>0</v>
      </c>
      <c r="BI456" s="148">
        <f>IF(N456="nulová",J456,0)</f>
        <v>0</v>
      </c>
      <c r="BJ456" s="19" t="s">
        <v>80</v>
      </c>
      <c r="BK456" s="148">
        <f>ROUND(I456*H456,2)</f>
        <v>0</v>
      </c>
      <c r="BL456" s="19" t="s">
        <v>200</v>
      </c>
      <c r="BM456" s="147" t="s">
        <v>417</v>
      </c>
    </row>
    <row r="457" spans="1:65" s="2" customFormat="1" ht="126.75">
      <c r="A457" s="31"/>
      <c r="B457" s="32"/>
      <c r="C457" s="31"/>
      <c r="D457" s="150" t="s">
        <v>149</v>
      </c>
      <c r="E457" s="31"/>
      <c r="F457" s="163" t="s">
        <v>418</v>
      </c>
      <c r="G457" s="31"/>
      <c r="H457" s="31"/>
      <c r="I457" s="279"/>
      <c r="J457" s="31"/>
      <c r="K457" s="31"/>
      <c r="L457" s="32"/>
      <c r="M457" s="164"/>
      <c r="N457" s="165"/>
      <c r="O457" s="52"/>
      <c r="P457" s="52"/>
      <c r="Q457" s="52"/>
      <c r="R457" s="52"/>
      <c r="S457" s="52"/>
      <c r="T457" s="53"/>
      <c r="U457" s="31"/>
      <c r="V457" s="31"/>
      <c r="W457" s="31"/>
      <c r="X457" s="31"/>
      <c r="Y457" s="31"/>
      <c r="Z457" s="31"/>
      <c r="AA457" s="31"/>
      <c r="AB457" s="31"/>
      <c r="AC457" s="31"/>
      <c r="AD457" s="31"/>
      <c r="AE457" s="31"/>
      <c r="AT457" s="19" t="s">
        <v>149</v>
      </c>
      <c r="AU457" s="19" t="s">
        <v>82</v>
      </c>
    </row>
    <row r="458" spans="1:65" s="2" customFormat="1" ht="49.15" customHeight="1">
      <c r="A458" s="31"/>
      <c r="B458" s="136"/>
      <c r="C458" s="137">
        <v>76</v>
      </c>
      <c r="D458" s="137" t="s">
        <v>141</v>
      </c>
      <c r="E458" s="138" t="s">
        <v>419</v>
      </c>
      <c r="F458" s="139" t="s">
        <v>1278</v>
      </c>
      <c r="G458" s="140" t="s">
        <v>308</v>
      </c>
      <c r="H458" s="141">
        <f>H456</f>
        <v>0</v>
      </c>
      <c r="I458" s="278"/>
      <c r="J458" s="142">
        <f>ROUND(I458*H458,2)</f>
        <v>0</v>
      </c>
      <c r="K458" s="139" t="s">
        <v>148</v>
      </c>
      <c r="L458" s="32"/>
      <c r="M458" s="143" t="s">
        <v>3</v>
      </c>
      <c r="N458" s="144" t="s">
        <v>43</v>
      </c>
      <c r="O458" s="145">
        <v>0</v>
      </c>
      <c r="P458" s="145">
        <f>O458*H458</f>
        <v>0</v>
      </c>
      <c r="Q458" s="145">
        <v>0</v>
      </c>
      <c r="R458" s="145">
        <f>Q458*H458</f>
        <v>0</v>
      </c>
      <c r="S458" s="145">
        <v>0</v>
      </c>
      <c r="T458" s="146">
        <f>S458*H458</f>
        <v>0</v>
      </c>
      <c r="U458" s="31"/>
      <c r="V458" s="31"/>
      <c r="W458" s="31"/>
      <c r="X458" s="31"/>
      <c r="Y458" s="31"/>
      <c r="Z458" s="31"/>
      <c r="AA458" s="31"/>
      <c r="AB458" s="31"/>
      <c r="AC458" s="31"/>
      <c r="AD458" s="31"/>
      <c r="AE458" s="31"/>
      <c r="AR458" s="147" t="s">
        <v>200</v>
      </c>
      <c r="AT458" s="147" t="s">
        <v>141</v>
      </c>
      <c r="AU458" s="147" t="s">
        <v>82</v>
      </c>
      <c r="AY458" s="19" t="s">
        <v>138</v>
      </c>
      <c r="BE458" s="148">
        <f>IF(N458="základní",J458,0)</f>
        <v>0</v>
      </c>
      <c r="BF458" s="148">
        <f>IF(N458="snížená",J458,0)</f>
        <v>0</v>
      </c>
      <c r="BG458" s="148">
        <f>IF(N458="zákl. přenesená",J458,0)</f>
        <v>0</v>
      </c>
      <c r="BH458" s="148">
        <f>IF(N458="sníž. přenesená",J458,0)</f>
        <v>0</v>
      </c>
      <c r="BI458" s="148">
        <f>IF(N458="nulová",J458,0)</f>
        <v>0</v>
      </c>
      <c r="BJ458" s="19" t="s">
        <v>80</v>
      </c>
      <c r="BK458" s="148">
        <f>ROUND(I458*H458,2)</f>
        <v>0</v>
      </c>
      <c r="BL458" s="19" t="s">
        <v>200</v>
      </c>
      <c r="BM458" s="147" t="s">
        <v>420</v>
      </c>
    </row>
    <row r="459" spans="1:65" s="2" customFormat="1" ht="126.75">
      <c r="A459" s="31"/>
      <c r="B459" s="32"/>
      <c r="C459" s="31"/>
      <c r="D459" s="150" t="s">
        <v>149</v>
      </c>
      <c r="E459" s="31"/>
      <c r="F459" s="163" t="s">
        <v>418</v>
      </c>
      <c r="G459" s="31"/>
      <c r="H459" s="31"/>
      <c r="I459" s="279"/>
      <c r="J459" s="31"/>
      <c r="K459" s="31"/>
      <c r="L459" s="32"/>
      <c r="M459" s="164"/>
      <c r="N459" s="165"/>
      <c r="O459" s="52"/>
      <c r="P459" s="52"/>
      <c r="Q459" s="52"/>
      <c r="R459" s="52"/>
      <c r="S459" s="52"/>
      <c r="T459" s="53"/>
      <c r="U459" s="31"/>
      <c r="V459" s="31"/>
      <c r="W459" s="31"/>
      <c r="X459" s="31"/>
      <c r="Y459" s="31"/>
      <c r="Z459" s="31"/>
      <c r="AA459" s="31"/>
      <c r="AB459" s="31"/>
      <c r="AC459" s="31"/>
      <c r="AD459" s="31"/>
      <c r="AE459" s="31"/>
      <c r="AT459" s="19" t="s">
        <v>149</v>
      </c>
      <c r="AU459" s="19" t="s">
        <v>82</v>
      </c>
    </row>
    <row r="460" spans="1:65" s="12" customFormat="1" ht="22.9" customHeight="1">
      <c r="B460" s="124"/>
      <c r="D460" s="125" t="s">
        <v>71</v>
      </c>
      <c r="E460" s="134" t="s">
        <v>427</v>
      </c>
      <c r="F460" s="134" t="s">
        <v>428</v>
      </c>
      <c r="I460" s="285"/>
      <c r="J460" s="135">
        <f>BK460</f>
        <v>0</v>
      </c>
      <c r="L460" s="124"/>
      <c r="M460" s="128"/>
      <c r="N460" s="129"/>
      <c r="O460" s="129"/>
      <c r="P460" s="130">
        <f>SUM(P461:P544)</f>
        <v>214.01024359999997</v>
      </c>
      <c r="Q460" s="129"/>
      <c r="R460" s="130">
        <f>SUM(R461:R544)</f>
        <v>3.7779379799999995</v>
      </c>
      <c r="S460" s="129"/>
      <c r="T460" s="131">
        <f>SUM(T461:T544)</f>
        <v>0</v>
      </c>
      <c r="AR460" s="125" t="s">
        <v>82</v>
      </c>
      <c r="AT460" s="132" t="s">
        <v>71</v>
      </c>
      <c r="AU460" s="132" t="s">
        <v>80</v>
      </c>
      <c r="AY460" s="125" t="s">
        <v>138</v>
      </c>
      <c r="BK460" s="133">
        <f>SUM(BK461:BK544)</f>
        <v>0</v>
      </c>
    </row>
    <row r="461" spans="1:65" s="2" customFormat="1" ht="24.2" customHeight="1">
      <c r="A461" s="31"/>
      <c r="B461" s="136"/>
      <c r="C461" s="137">
        <v>79</v>
      </c>
      <c r="D461" s="137" t="s">
        <v>141</v>
      </c>
      <c r="E461" s="138" t="s">
        <v>429</v>
      </c>
      <c r="F461" s="139" t="s">
        <v>430</v>
      </c>
      <c r="G461" s="140" t="s">
        <v>173</v>
      </c>
      <c r="H461" s="141">
        <f>H484</f>
        <v>90.633599999999987</v>
      </c>
      <c r="I461" s="278"/>
      <c r="J461" s="142">
        <f>ROUND(I461*H461,2)</f>
        <v>0</v>
      </c>
      <c r="K461" s="139" t="s">
        <v>148</v>
      </c>
      <c r="L461" s="32"/>
      <c r="M461" s="143" t="s">
        <v>3</v>
      </c>
      <c r="N461" s="144" t="s">
        <v>43</v>
      </c>
      <c r="O461" s="145">
        <v>1.2E-2</v>
      </c>
      <c r="P461" s="145">
        <f>O461*H461</f>
        <v>1.0876031999999998</v>
      </c>
      <c r="Q461" s="145">
        <v>0</v>
      </c>
      <c r="R461" s="145">
        <f>Q461*H461</f>
        <v>0</v>
      </c>
      <c r="S461" s="145">
        <v>0</v>
      </c>
      <c r="T461" s="146">
        <f>S461*H461</f>
        <v>0</v>
      </c>
      <c r="U461" s="31"/>
      <c r="V461" s="31"/>
      <c r="W461" s="31"/>
      <c r="X461" s="31"/>
      <c r="Y461" s="31"/>
      <c r="Z461" s="31"/>
      <c r="AA461" s="31"/>
      <c r="AB461" s="31"/>
      <c r="AC461" s="31"/>
      <c r="AD461" s="31"/>
      <c r="AE461" s="31"/>
      <c r="AR461" s="147" t="s">
        <v>200</v>
      </c>
      <c r="AT461" s="147" t="s">
        <v>141</v>
      </c>
      <c r="AU461" s="147" t="s">
        <v>82</v>
      </c>
      <c r="AY461" s="19" t="s">
        <v>138</v>
      </c>
      <c r="BE461" s="148">
        <f>IF(N461="základní",J461,0)</f>
        <v>0</v>
      </c>
      <c r="BF461" s="148">
        <f>IF(N461="snížená",J461,0)</f>
        <v>0</v>
      </c>
      <c r="BG461" s="148">
        <f>IF(N461="zákl. přenesená",J461,0)</f>
        <v>0</v>
      </c>
      <c r="BH461" s="148">
        <f>IF(N461="sníž. přenesená",J461,0)</f>
        <v>0</v>
      </c>
      <c r="BI461" s="148">
        <f>IF(N461="nulová",J461,0)</f>
        <v>0</v>
      </c>
      <c r="BJ461" s="19" t="s">
        <v>80</v>
      </c>
      <c r="BK461" s="148">
        <f>ROUND(I461*H461,2)</f>
        <v>0</v>
      </c>
      <c r="BL461" s="19" t="s">
        <v>200</v>
      </c>
      <c r="BM461" s="147" t="s">
        <v>431</v>
      </c>
    </row>
    <row r="462" spans="1:65" s="2" customFormat="1" ht="107.25">
      <c r="A462" s="31"/>
      <c r="B462" s="32"/>
      <c r="C462" s="31"/>
      <c r="D462" s="150" t="s">
        <v>149</v>
      </c>
      <c r="E462" s="31"/>
      <c r="F462" s="163" t="s">
        <v>432</v>
      </c>
      <c r="G462" s="31"/>
      <c r="H462" s="31"/>
      <c r="I462" s="279"/>
      <c r="J462" s="31"/>
      <c r="K462" s="31"/>
      <c r="L462" s="32"/>
      <c r="M462" s="164"/>
      <c r="N462" s="165"/>
      <c r="O462" s="52"/>
      <c r="P462" s="52"/>
      <c r="Q462" s="52"/>
      <c r="R462" s="52"/>
      <c r="S462" s="52"/>
      <c r="T462" s="53"/>
      <c r="U462" s="31"/>
      <c r="V462" s="31"/>
      <c r="W462" s="31"/>
      <c r="X462" s="31"/>
      <c r="Y462" s="31"/>
      <c r="Z462" s="31"/>
      <c r="AA462" s="31"/>
      <c r="AB462" s="31"/>
      <c r="AC462" s="31"/>
      <c r="AD462" s="31"/>
      <c r="AE462" s="31"/>
      <c r="AT462" s="19" t="s">
        <v>149</v>
      </c>
      <c r="AU462" s="19" t="s">
        <v>82</v>
      </c>
    </row>
    <row r="463" spans="1:65" s="13" customFormat="1">
      <c r="B463" s="149"/>
      <c r="D463" s="150" t="s">
        <v>145</v>
      </c>
      <c r="E463" s="151" t="s">
        <v>3</v>
      </c>
      <c r="F463" s="152" t="s">
        <v>198</v>
      </c>
      <c r="H463" s="151" t="s">
        <v>3</v>
      </c>
      <c r="I463" s="282"/>
      <c r="L463" s="149"/>
      <c r="M463" s="153"/>
      <c r="N463" s="154"/>
      <c r="O463" s="154"/>
      <c r="P463" s="154"/>
      <c r="Q463" s="154"/>
      <c r="R463" s="154"/>
      <c r="S463" s="154"/>
      <c r="T463" s="155"/>
      <c r="AT463" s="151" t="s">
        <v>145</v>
      </c>
      <c r="AU463" s="151" t="s">
        <v>82</v>
      </c>
      <c r="AV463" s="13" t="s">
        <v>80</v>
      </c>
      <c r="AW463" s="13" t="s">
        <v>34</v>
      </c>
      <c r="AX463" s="13" t="s">
        <v>72</v>
      </c>
      <c r="AY463" s="151" t="s">
        <v>138</v>
      </c>
    </row>
    <row r="464" spans="1:65" s="2" customFormat="1" ht="24.2" customHeight="1">
      <c r="A464" s="31"/>
      <c r="B464" s="136"/>
      <c r="C464" s="137">
        <v>80</v>
      </c>
      <c r="D464" s="137" t="s">
        <v>141</v>
      </c>
      <c r="E464" s="138" t="s">
        <v>433</v>
      </c>
      <c r="F464" s="139" t="s">
        <v>434</v>
      </c>
      <c r="G464" s="140" t="s">
        <v>173</v>
      </c>
      <c r="H464" s="141">
        <f>H484</f>
        <v>90.633599999999987</v>
      </c>
      <c r="I464" s="278"/>
      <c r="J464" s="142">
        <f>ROUND(I464*H464,2)</f>
        <v>0</v>
      </c>
      <c r="K464" s="139" t="s">
        <v>148</v>
      </c>
      <c r="L464" s="32"/>
      <c r="M464" s="143" t="s">
        <v>3</v>
      </c>
      <c r="N464" s="144" t="s">
        <v>43</v>
      </c>
      <c r="O464" s="145">
        <v>4.3999999999999997E-2</v>
      </c>
      <c r="P464" s="145">
        <f>O464*H464</f>
        <v>3.9878783999999992</v>
      </c>
      <c r="Q464" s="145">
        <v>2.9999999999999997E-4</v>
      </c>
      <c r="R464" s="145">
        <f>Q464*H464</f>
        <v>2.7190079999999995E-2</v>
      </c>
      <c r="S464" s="145">
        <v>0</v>
      </c>
      <c r="T464" s="146">
        <f>S464*H464</f>
        <v>0</v>
      </c>
      <c r="U464" s="31"/>
      <c r="V464" s="31"/>
      <c r="W464" s="31"/>
      <c r="X464" s="31"/>
      <c r="Y464" s="31"/>
      <c r="Z464" s="31"/>
      <c r="AA464" s="31"/>
      <c r="AB464" s="31"/>
      <c r="AC464" s="31"/>
      <c r="AD464" s="31"/>
      <c r="AE464" s="31"/>
      <c r="AR464" s="147" t="s">
        <v>200</v>
      </c>
      <c r="AT464" s="147" t="s">
        <v>141</v>
      </c>
      <c r="AU464" s="147" t="s">
        <v>82</v>
      </c>
      <c r="AY464" s="19" t="s">
        <v>138</v>
      </c>
      <c r="BE464" s="148">
        <f>IF(N464="základní",J464,0)</f>
        <v>0</v>
      </c>
      <c r="BF464" s="148">
        <f>IF(N464="snížená",J464,0)</f>
        <v>0</v>
      </c>
      <c r="BG464" s="148">
        <f>IF(N464="zákl. přenesená",J464,0)</f>
        <v>0</v>
      </c>
      <c r="BH464" s="148">
        <f>IF(N464="sníž. přenesená",J464,0)</f>
        <v>0</v>
      </c>
      <c r="BI464" s="148">
        <f>IF(N464="nulová",J464,0)</f>
        <v>0</v>
      </c>
      <c r="BJ464" s="19" t="s">
        <v>80</v>
      </c>
      <c r="BK464" s="148">
        <f>ROUND(I464*H464,2)</f>
        <v>0</v>
      </c>
      <c r="BL464" s="19" t="s">
        <v>200</v>
      </c>
      <c r="BM464" s="147" t="s">
        <v>435</v>
      </c>
    </row>
    <row r="465" spans="1:65" s="2" customFormat="1" ht="107.25">
      <c r="A465" s="31"/>
      <c r="B465" s="32"/>
      <c r="C465" s="31"/>
      <c r="D465" s="150" t="s">
        <v>149</v>
      </c>
      <c r="E465" s="31"/>
      <c r="F465" s="163" t="s">
        <v>432</v>
      </c>
      <c r="G465" s="31"/>
      <c r="H465" s="31"/>
      <c r="I465" s="279"/>
      <c r="J465" s="31"/>
      <c r="K465" s="31"/>
      <c r="L465" s="32"/>
      <c r="M465" s="164"/>
      <c r="N465" s="165"/>
      <c r="O465" s="52"/>
      <c r="P465" s="52"/>
      <c r="Q465" s="52"/>
      <c r="R465" s="52"/>
      <c r="S465" s="52"/>
      <c r="T465" s="53"/>
      <c r="U465" s="31"/>
      <c r="V465" s="31"/>
      <c r="W465" s="31"/>
      <c r="X465" s="31"/>
      <c r="Y465" s="31"/>
      <c r="Z465" s="31"/>
      <c r="AA465" s="31"/>
      <c r="AB465" s="31"/>
      <c r="AC465" s="31"/>
      <c r="AD465" s="31"/>
      <c r="AE465" s="31"/>
      <c r="AT465" s="19" t="s">
        <v>149</v>
      </c>
      <c r="AU465" s="19" t="s">
        <v>82</v>
      </c>
    </row>
    <row r="466" spans="1:65" s="2" customFormat="1" ht="24.2" customHeight="1">
      <c r="A466" s="31"/>
      <c r="B466" s="136"/>
      <c r="C466" s="137">
        <v>81</v>
      </c>
      <c r="D466" s="137" t="s">
        <v>141</v>
      </c>
      <c r="E466" s="138" t="s">
        <v>436</v>
      </c>
      <c r="F466" s="139" t="s">
        <v>437</v>
      </c>
      <c r="G466" s="140" t="s">
        <v>173</v>
      </c>
      <c r="H466" s="141">
        <f>H484</f>
        <v>90.633599999999987</v>
      </c>
      <c r="I466" s="278"/>
      <c r="J466" s="142">
        <f>ROUND(I466*H466,2)</f>
        <v>0</v>
      </c>
      <c r="K466" s="139" t="s">
        <v>148</v>
      </c>
      <c r="L466" s="32"/>
      <c r="M466" s="143" t="s">
        <v>3</v>
      </c>
      <c r="N466" s="144" t="s">
        <v>43</v>
      </c>
      <c r="O466" s="145">
        <v>0.375</v>
      </c>
      <c r="P466" s="145">
        <f>O466*H466</f>
        <v>33.987599999999993</v>
      </c>
      <c r="Q466" s="145">
        <v>1.5E-3</v>
      </c>
      <c r="R466" s="145">
        <f>Q466*H466</f>
        <v>0.13595039999999997</v>
      </c>
      <c r="S466" s="145">
        <v>0</v>
      </c>
      <c r="T466" s="146">
        <f>S466*H466</f>
        <v>0</v>
      </c>
      <c r="U466" s="31"/>
      <c r="V466" s="31"/>
      <c r="W466" s="31"/>
      <c r="X466" s="31"/>
      <c r="Y466" s="31"/>
      <c r="Z466" s="31"/>
      <c r="AA466" s="31"/>
      <c r="AB466" s="31"/>
      <c r="AC466" s="31"/>
      <c r="AD466" s="31"/>
      <c r="AE466" s="31"/>
      <c r="AR466" s="147" t="s">
        <v>200</v>
      </c>
      <c r="AT466" s="147" t="s">
        <v>141</v>
      </c>
      <c r="AU466" s="147" t="s">
        <v>82</v>
      </c>
      <c r="AY466" s="19" t="s">
        <v>138</v>
      </c>
      <c r="BE466" s="148">
        <f>IF(N466="základní",J466,0)</f>
        <v>0</v>
      </c>
      <c r="BF466" s="148">
        <f>IF(N466="snížená",J466,0)</f>
        <v>0</v>
      </c>
      <c r="BG466" s="148">
        <f>IF(N466="zákl. přenesená",J466,0)</f>
        <v>0</v>
      </c>
      <c r="BH466" s="148">
        <f>IF(N466="sníž. přenesená",J466,0)</f>
        <v>0</v>
      </c>
      <c r="BI466" s="148">
        <f>IF(N466="nulová",J466,0)</f>
        <v>0</v>
      </c>
      <c r="BJ466" s="19" t="s">
        <v>80</v>
      </c>
      <c r="BK466" s="148">
        <f>ROUND(I466*H466,2)</f>
        <v>0</v>
      </c>
      <c r="BL466" s="19" t="s">
        <v>200</v>
      </c>
      <c r="BM466" s="147" t="s">
        <v>438</v>
      </c>
    </row>
    <row r="467" spans="1:65" s="2" customFormat="1" ht="87.75">
      <c r="A467" s="31"/>
      <c r="B467" s="32"/>
      <c r="C467" s="31"/>
      <c r="D467" s="150" t="s">
        <v>149</v>
      </c>
      <c r="E467" s="31"/>
      <c r="F467" s="163" t="s">
        <v>439</v>
      </c>
      <c r="G467" s="31"/>
      <c r="H467" s="31"/>
      <c r="I467" s="279"/>
      <c r="J467" s="31"/>
      <c r="K467" s="31"/>
      <c r="L467" s="32"/>
      <c r="M467" s="164"/>
      <c r="N467" s="165"/>
      <c r="O467" s="52"/>
      <c r="P467" s="52"/>
      <c r="Q467" s="52"/>
      <c r="R467" s="52"/>
      <c r="S467" s="52"/>
      <c r="T467" s="53"/>
      <c r="U467" s="31"/>
      <c r="V467" s="31"/>
      <c r="W467" s="31"/>
      <c r="X467" s="31"/>
      <c r="Y467" s="31"/>
      <c r="Z467" s="31"/>
      <c r="AA467" s="31"/>
      <c r="AB467" s="31"/>
      <c r="AC467" s="31"/>
      <c r="AD467" s="31"/>
      <c r="AE467" s="31"/>
      <c r="AT467" s="19" t="s">
        <v>149</v>
      </c>
      <c r="AU467" s="19" t="s">
        <v>82</v>
      </c>
    </row>
    <row r="468" spans="1:65" s="13" customFormat="1">
      <c r="B468" s="149"/>
      <c r="D468" s="150" t="s">
        <v>145</v>
      </c>
      <c r="E468" s="151" t="s">
        <v>3</v>
      </c>
      <c r="F468" s="152" t="s">
        <v>156</v>
      </c>
      <c r="H468" s="151" t="s">
        <v>3</v>
      </c>
      <c r="I468" s="282"/>
      <c r="L468" s="149"/>
      <c r="M468" s="153"/>
      <c r="N468" s="154"/>
      <c r="O468" s="154"/>
      <c r="P468" s="154"/>
      <c r="Q468" s="154"/>
      <c r="R468" s="154"/>
      <c r="S468" s="154"/>
      <c r="T468" s="155"/>
      <c r="AT468" s="151" t="s">
        <v>145</v>
      </c>
      <c r="AU468" s="151" t="s">
        <v>82</v>
      </c>
      <c r="AV468" s="13" t="s">
        <v>80</v>
      </c>
      <c r="AW468" s="13" t="s">
        <v>34</v>
      </c>
      <c r="AX468" s="13" t="s">
        <v>72</v>
      </c>
      <c r="AY468" s="151" t="s">
        <v>138</v>
      </c>
    </row>
    <row r="469" spans="1:65" s="14" customFormat="1">
      <c r="B469" s="156"/>
      <c r="D469" s="150" t="s">
        <v>145</v>
      </c>
      <c r="E469" s="157" t="s">
        <v>3</v>
      </c>
      <c r="F469" s="158" t="s">
        <v>1525</v>
      </c>
      <c r="H469" s="159">
        <f>7.66*1.5-0.78*1.5</f>
        <v>10.32</v>
      </c>
      <c r="I469" s="280"/>
      <c r="L469" s="156"/>
      <c r="M469" s="160"/>
      <c r="N469" s="161"/>
      <c r="O469" s="161"/>
      <c r="P469" s="161"/>
      <c r="Q469" s="161"/>
      <c r="R469" s="161"/>
      <c r="S469" s="161"/>
      <c r="T469" s="162"/>
      <c r="AT469" s="157" t="s">
        <v>145</v>
      </c>
      <c r="AU469" s="157" t="s">
        <v>82</v>
      </c>
      <c r="AV469" s="14" t="s">
        <v>82</v>
      </c>
      <c r="AW469" s="14" t="s">
        <v>34</v>
      </c>
      <c r="AX469" s="14" t="s">
        <v>72</v>
      </c>
      <c r="AY469" s="157" t="s">
        <v>138</v>
      </c>
    </row>
    <row r="470" spans="1:65" s="14" customFormat="1">
      <c r="B470" s="156"/>
      <c r="D470" s="150" t="s">
        <v>145</v>
      </c>
      <c r="E470" s="157" t="s">
        <v>3</v>
      </c>
      <c r="F470" s="158" t="s">
        <v>1526</v>
      </c>
      <c r="H470" s="159">
        <f>7.9*2.1-0.68*2.01*2</f>
        <v>13.856400000000001</v>
      </c>
      <c r="I470" s="280"/>
      <c r="L470" s="156"/>
      <c r="M470" s="160"/>
      <c r="N470" s="161"/>
      <c r="O470" s="161"/>
      <c r="P470" s="161"/>
      <c r="Q470" s="161"/>
      <c r="R470" s="161"/>
      <c r="S470" s="161"/>
      <c r="T470" s="162"/>
      <c r="AT470" s="157" t="s">
        <v>145</v>
      </c>
      <c r="AU470" s="157" t="s">
        <v>82</v>
      </c>
      <c r="AV470" s="14" t="s">
        <v>82</v>
      </c>
      <c r="AW470" s="14" t="s">
        <v>34</v>
      </c>
      <c r="AX470" s="14" t="s">
        <v>72</v>
      </c>
      <c r="AY470" s="157" t="s">
        <v>138</v>
      </c>
    </row>
    <row r="471" spans="1:65" s="14" customFormat="1">
      <c r="B471" s="156"/>
      <c r="D471" s="150" t="s">
        <v>145</v>
      </c>
      <c r="E471" s="157" t="s">
        <v>3</v>
      </c>
      <c r="F471" s="158" t="s">
        <v>1527</v>
      </c>
      <c r="H471" s="159">
        <f>4.26*1.5-0.68*1.5</f>
        <v>5.3699999999999992</v>
      </c>
      <c r="I471" s="280"/>
      <c r="L471" s="156"/>
      <c r="M471" s="160"/>
      <c r="N471" s="161"/>
      <c r="O471" s="161"/>
      <c r="P471" s="161"/>
      <c r="Q471" s="161"/>
      <c r="R471" s="161"/>
      <c r="S471" s="161"/>
      <c r="T471" s="162"/>
      <c r="AT471" s="157" t="s">
        <v>145</v>
      </c>
      <c r="AU471" s="157" t="s">
        <v>82</v>
      </c>
      <c r="AV471" s="14" t="s">
        <v>82</v>
      </c>
      <c r="AW471" s="14" t="s">
        <v>34</v>
      </c>
      <c r="AX471" s="14" t="s">
        <v>72</v>
      </c>
      <c r="AY471" s="157" t="s">
        <v>138</v>
      </c>
    </row>
    <row r="472" spans="1:65" s="14" customFormat="1">
      <c r="B472" s="156"/>
      <c r="D472" s="150" t="s">
        <v>145</v>
      </c>
      <c r="E472" s="157" t="s">
        <v>3</v>
      </c>
      <c r="F472" s="158" t="s">
        <v>1529</v>
      </c>
      <c r="H472" s="159">
        <f>(1.88+1.84)*2*1.5-0.68*1.5*3-1.5*0.35</f>
        <v>7.5749999999999993</v>
      </c>
      <c r="I472" s="280"/>
      <c r="L472" s="156"/>
      <c r="M472" s="160"/>
      <c r="N472" s="161"/>
      <c r="O472" s="161"/>
      <c r="P472" s="161"/>
      <c r="Q472" s="161"/>
      <c r="R472" s="161"/>
      <c r="S472" s="161"/>
      <c r="T472" s="162"/>
      <c r="AT472" s="157" t="s">
        <v>145</v>
      </c>
      <c r="AU472" s="157" t="s">
        <v>82</v>
      </c>
      <c r="AV472" s="14" t="s">
        <v>82</v>
      </c>
      <c r="AW472" s="14" t="s">
        <v>34</v>
      </c>
      <c r="AX472" s="14" t="s">
        <v>72</v>
      </c>
      <c r="AY472" s="157" t="s">
        <v>138</v>
      </c>
    </row>
    <row r="473" spans="1:65" s="14" customFormat="1">
      <c r="B473" s="156"/>
      <c r="D473" s="150" t="s">
        <v>145</v>
      </c>
      <c r="E473" s="157" t="s">
        <v>3</v>
      </c>
      <c r="F473" s="158" t="s">
        <v>1528</v>
      </c>
      <c r="H473" s="159">
        <f>5.46*1.5-0.78*1.5</f>
        <v>7.02</v>
      </c>
      <c r="I473" s="280"/>
      <c r="L473" s="156"/>
      <c r="M473" s="160"/>
      <c r="N473" s="161"/>
      <c r="O473" s="161"/>
      <c r="P473" s="161"/>
      <c r="Q473" s="161"/>
      <c r="R473" s="161"/>
      <c r="S473" s="161"/>
      <c r="T473" s="162"/>
      <c r="AT473" s="157" t="s">
        <v>145</v>
      </c>
      <c r="AU473" s="157" t="s">
        <v>82</v>
      </c>
      <c r="AV473" s="14" t="s">
        <v>82</v>
      </c>
      <c r="AW473" s="14" t="s">
        <v>34</v>
      </c>
      <c r="AX473" s="14" t="s">
        <v>72</v>
      </c>
      <c r="AY473" s="157" t="s">
        <v>138</v>
      </c>
    </row>
    <row r="474" spans="1:65" s="14" customFormat="1">
      <c r="B474" s="156"/>
      <c r="D474" s="150" t="s">
        <v>145</v>
      </c>
      <c r="E474" s="157" t="s">
        <v>3</v>
      </c>
      <c r="F474" s="158" t="s">
        <v>1528</v>
      </c>
      <c r="H474" s="159">
        <f>5.46*1.5-0.78*1.5</f>
        <v>7.02</v>
      </c>
      <c r="I474" s="280"/>
      <c r="L474" s="156"/>
      <c r="M474" s="160"/>
      <c r="N474" s="161"/>
      <c r="O474" s="161"/>
      <c r="P474" s="161"/>
      <c r="Q474" s="161"/>
      <c r="R474" s="161"/>
      <c r="S474" s="161"/>
      <c r="T474" s="162"/>
      <c r="AT474" s="157" t="s">
        <v>145</v>
      </c>
      <c r="AU474" s="157" t="s">
        <v>82</v>
      </c>
      <c r="AV474" s="14" t="s">
        <v>82</v>
      </c>
      <c r="AW474" s="14" t="s">
        <v>34</v>
      </c>
      <c r="AX474" s="14" t="s">
        <v>72</v>
      </c>
      <c r="AY474" s="157" t="s">
        <v>138</v>
      </c>
    </row>
    <row r="475" spans="1:65" s="16" customFormat="1">
      <c r="B475" s="182"/>
      <c r="D475" s="150" t="s">
        <v>145</v>
      </c>
      <c r="E475" s="183" t="s">
        <v>3</v>
      </c>
      <c r="F475" s="184" t="s">
        <v>219</v>
      </c>
      <c r="H475" s="185">
        <f>SUM(H469:H474)</f>
        <v>51.161399999999986</v>
      </c>
      <c r="I475" s="283"/>
      <c r="L475" s="182"/>
      <c r="M475" s="186"/>
      <c r="N475" s="187"/>
      <c r="O475" s="187"/>
      <c r="P475" s="187"/>
      <c r="Q475" s="187"/>
      <c r="R475" s="187"/>
      <c r="S475" s="187"/>
      <c r="T475" s="188"/>
      <c r="AT475" s="183" t="s">
        <v>145</v>
      </c>
      <c r="AU475" s="183" t="s">
        <v>82</v>
      </c>
      <c r="AV475" s="16" t="s">
        <v>139</v>
      </c>
      <c r="AW475" s="16" t="s">
        <v>34</v>
      </c>
      <c r="AX475" s="16" t="s">
        <v>72</v>
      </c>
      <c r="AY475" s="183" t="s">
        <v>138</v>
      </c>
    </row>
    <row r="476" spans="1:65" s="13" customFormat="1">
      <c r="B476" s="149"/>
      <c r="D476" s="150" t="s">
        <v>145</v>
      </c>
      <c r="E476" s="151" t="s">
        <v>3</v>
      </c>
      <c r="F476" s="152" t="s">
        <v>157</v>
      </c>
      <c r="H476" s="151" t="s">
        <v>3</v>
      </c>
      <c r="I476" s="282"/>
      <c r="L476" s="149"/>
      <c r="M476" s="153"/>
      <c r="N476" s="154"/>
      <c r="O476" s="154"/>
      <c r="P476" s="154"/>
      <c r="Q476" s="154"/>
      <c r="R476" s="154"/>
      <c r="S476" s="154"/>
      <c r="T476" s="155"/>
      <c r="AT476" s="151" t="s">
        <v>145</v>
      </c>
      <c r="AU476" s="151" t="s">
        <v>82</v>
      </c>
      <c r="AV476" s="13" t="s">
        <v>80</v>
      </c>
      <c r="AW476" s="13" t="s">
        <v>34</v>
      </c>
      <c r="AX476" s="13" t="s">
        <v>72</v>
      </c>
      <c r="AY476" s="151" t="s">
        <v>138</v>
      </c>
    </row>
    <row r="477" spans="1:65" s="14" customFormat="1">
      <c r="B477" s="156"/>
      <c r="D477" s="150" t="s">
        <v>145</v>
      </c>
      <c r="E477" s="157" t="s">
        <v>3</v>
      </c>
      <c r="F477" s="158" t="s">
        <v>1530</v>
      </c>
      <c r="H477" s="159">
        <f>6.56*1.5-0.68*2*1.5-0.78*1.5</f>
        <v>6.63</v>
      </c>
      <c r="I477" s="280"/>
      <c r="L477" s="156"/>
      <c r="M477" s="160"/>
      <c r="N477" s="161"/>
      <c r="O477" s="161"/>
      <c r="P477" s="161"/>
      <c r="Q477" s="161"/>
      <c r="R477" s="161"/>
      <c r="S477" s="161"/>
      <c r="T477" s="162"/>
      <c r="AT477" s="157" t="s">
        <v>145</v>
      </c>
      <c r="AU477" s="157" t="s">
        <v>82</v>
      </c>
      <c r="AV477" s="14" t="s">
        <v>82</v>
      </c>
      <c r="AW477" s="14" t="s">
        <v>34</v>
      </c>
      <c r="AX477" s="14" t="s">
        <v>72</v>
      </c>
      <c r="AY477" s="157" t="s">
        <v>138</v>
      </c>
    </row>
    <row r="478" spans="1:65" s="14" customFormat="1">
      <c r="B478" s="156"/>
      <c r="D478" s="150" t="s">
        <v>145</v>
      </c>
      <c r="E478" s="157" t="s">
        <v>3</v>
      </c>
      <c r="F478" s="158" t="s">
        <v>1531</v>
      </c>
      <c r="H478" s="159">
        <f>5.78*1.5-0.68*1.5</f>
        <v>7.65</v>
      </c>
      <c r="I478" s="280"/>
      <c r="L478" s="156"/>
      <c r="M478" s="160"/>
      <c r="N478" s="161"/>
      <c r="O478" s="161"/>
      <c r="P478" s="161"/>
      <c r="Q478" s="161"/>
      <c r="R478" s="161"/>
      <c r="S478" s="161"/>
      <c r="T478" s="162"/>
      <c r="AT478" s="157" t="s">
        <v>145</v>
      </c>
      <c r="AU478" s="157" t="s">
        <v>82</v>
      </c>
      <c r="AV478" s="14" t="s">
        <v>82</v>
      </c>
      <c r="AW478" s="14" t="s">
        <v>34</v>
      </c>
      <c r="AX478" s="14" t="s">
        <v>72</v>
      </c>
      <c r="AY478" s="157" t="s">
        <v>138</v>
      </c>
    </row>
    <row r="479" spans="1:65" s="14" customFormat="1">
      <c r="B479" s="156"/>
      <c r="D479" s="150" t="s">
        <v>145</v>
      </c>
      <c r="E479" s="157" t="s">
        <v>3</v>
      </c>
      <c r="F479" s="158" t="s">
        <v>1532</v>
      </c>
      <c r="H479" s="159">
        <f>6.244*1.5-0.78*1.5</f>
        <v>8.1959999999999997</v>
      </c>
      <c r="I479" s="280"/>
      <c r="L479" s="156"/>
      <c r="M479" s="160"/>
      <c r="N479" s="161"/>
      <c r="O479" s="161"/>
      <c r="P479" s="161"/>
      <c r="Q479" s="161"/>
      <c r="R479" s="161"/>
      <c r="S479" s="161"/>
      <c r="T479" s="162"/>
      <c r="AT479" s="157" t="s">
        <v>145</v>
      </c>
      <c r="AU479" s="157" t="s">
        <v>82</v>
      </c>
      <c r="AV479" s="14" t="s">
        <v>82</v>
      </c>
      <c r="AW479" s="14" t="s">
        <v>34</v>
      </c>
      <c r="AX479" s="14" t="s">
        <v>72</v>
      </c>
      <c r="AY479" s="157" t="s">
        <v>138</v>
      </c>
    </row>
    <row r="480" spans="1:65" s="14" customFormat="1">
      <c r="B480" s="156"/>
      <c r="D480" s="150" t="s">
        <v>145</v>
      </c>
      <c r="E480" s="157" t="s">
        <v>3</v>
      </c>
      <c r="F480" s="158" t="s">
        <v>1533</v>
      </c>
      <c r="H480" s="159">
        <f>8.84*2.1-0.78*2.01</f>
        <v>16.996200000000002</v>
      </c>
      <c r="I480" s="280"/>
      <c r="L480" s="156"/>
      <c r="M480" s="160"/>
      <c r="N480" s="161"/>
      <c r="O480" s="161"/>
      <c r="P480" s="161"/>
      <c r="Q480" s="161"/>
      <c r="R480" s="161"/>
      <c r="S480" s="161"/>
      <c r="T480" s="162"/>
      <c r="AT480" s="157" t="s">
        <v>145</v>
      </c>
      <c r="AU480" s="157" t="s">
        <v>82</v>
      </c>
      <c r="AV480" s="14" t="s">
        <v>82</v>
      </c>
      <c r="AW480" s="14" t="s">
        <v>34</v>
      </c>
      <c r="AX480" s="14" t="s">
        <v>72</v>
      </c>
      <c r="AY480" s="157" t="s">
        <v>138</v>
      </c>
    </row>
    <row r="481" spans="1:65" s="16" customFormat="1">
      <c r="B481" s="182"/>
      <c r="D481" s="150" t="s">
        <v>145</v>
      </c>
      <c r="E481" s="183" t="s">
        <v>3</v>
      </c>
      <c r="F481" s="184" t="s">
        <v>219</v>
      </c>
      <c r="H481" s="185">
        <f>H477+H478+H479+H480</f>
        <v>39.472200000000001</v>
      </c>
      <c r="I481" s="283"/>
      <c r="L481" s="182"/>
      <c r="M481" s="186"/>
      <c r="N481" s="187"/>
      <c r="O481" s="187"/>
      <c r="P481" s="187"/>
      <c r="Q481" s="187"/>
      <c r="R481" s="187"/>
      <c r="S481" s="187"/>
      <c r="T481" s="188"/>
      <c r="AT481" s="183" t="s">
        <v>145</v>
      </c>
      <c r="AU481" s="183" t="s">
        <v>82</v>
      </c>
      <c r="AV481" s="16" t="s">
        <v>139</v>
      </c>
      <c r="AW481" s="16" t="s">
        <v>34</v>
      </c>
      <c r="AX481" s="16" t="s">
        <v>72</v>
      </c>
      <c r="AY481" s="183" t="s">
        <v>138</v>
      </c>
    </row>
    <row r="482" spans="1:65" s="15" customFormat="1">
      <c r="B482" s="166"/>
      <c r="D482" s="150" t="s">
        <v>145</v>
      </c>
      <c r="E482" s="167" t="s">
        <v>3</v>
      </c>
      <c r="F482" s="168" t="s">
        <v>151</v>
      </c>
      <c r="H482" s="169">
        <f>H475+H481</f>
        <v>90.633599999999987</v>
      </c>
      <c r="I482" s="284"/>
      <c r="L482" s="166"/>
      <c r="M482" s="170"/>
      <c r="N482" s="171"/>
      <c r="O482" s="171"/>
      <c r="P482" s="171"/>
      <c r="Q482" s="171"/>
      <c r="R482" s="171"/>
      <c r="S482" s="171"/>
      <c r="T482" s="172"/>
      <c r="AT482" s="167" t="s">
        <v>145</v>
      </c>
      <c r="AU482" s="167" t="s">
        <v>82</v>
      </c>
      <c r="AV482" s="15" t="s">
        <v>144</v>
      </c>
      <c r="AW482" s="15" t="s">
        <v>34</v>
      </c>
      <c r="AX482" s="15" t="s">
        <v>80</v>
      </c>
      <c r="AY482" s="167" t="s">
        <v>138</v>
      </c>
    </row>
    <row r="483" spans="1:65" s="13" customFormat="1">
      <c r="B483" s="149"/>
      <c r="D483" s="150" t="s">
        <v>145</v>
      </c>
      <c r="E483" s="151" t="s">
        <v>3</v>
      </c>
      <c r="F483" s="152" t="s">
        <v>156</v>
      </c>
      <c r="H483" s="151" t="s">
        <v>3</v>
      </c>
      <c r="I483" s="282"/>
      <c r="L483" s="149"/>
      <c r="M483" s="153"/>
      <c r="N483" s="154"/>
      <c r="O483" s="154"/>
      <c r="P483" s="154"/>
      <c r="Q483" s="154"/>
      <c r="R483" s="154"/>
      <c r="S483" s="154"/>
      <c r="T483" s="155"/>
      <c r="AT483" s="151" t="s">
        <v>145</v>
      </c>
      <c r="AU483" s="151" t="s">
        <v>82</v>
      </c>
      <c r="AV483" s="13" t="s">
        <v>80</v>
      </c>
      <c r="AW483" s="13" t="s">
        <v>34</v>
      </c>
      <c r="AX483" s="13" t="s">
        <v>72</v>
      </c>
      <c r="AY483" s="151" t="s">
        <v>138</v>
      </c>
    </row>
    <row r="484" spans="1:65" s="2" customFormat="1" ht="37.9" customHeight="1">
      <c r="A484" s="31"/>
      <c r="B484" s="136"/>
      <c r="C484" s="137">
        <v>82</v>
      </c>
      <c r="D484" s="137" t="s">
        <v>141</v>
      </c>
      <c r="E484" s="138" t="s">
        <v>440</v>
      </c>
      <c r="F484" s="139" t="s">
        <v>441</v>
      </c>
      <c r="G484" s="140" t="s">
        <v>173</v>
      </c>
      <c r="H484" s="141">
        <f>H501</f>
        <v>90.633599999999987</v>
      </c>
      <c r="I484" s="278"/>
      <c r="J484" s="142">
        <f>ROUND(I484*H484,2)</f>
        <v>0</v>
      </c>
      <c r="K484" s="139" t="s">
        <v>148</v>
      </c>
      <c r="L484" s="32"/>
      <c r="M484" s="143" t="s">
        <v>3</v>
      </c>
      <c r="N484" s="144" t="s">
        <v>43</v>
      </c>
      <c r="O484" s="145">
        <v>1.45</v>
      </c>
      <c r="P484" s="145">
        <f>O484*H484</f>
        <v>131.41871999999998</v>
      </c>
      <c r="Q484" s="145">
        <v>8.9999999999999993E-3</v>
      </c>
      <c r="R484" s="145">
        <f>Q484*H484</f>
        <v>0.81570239999999983</v>
      </c>
      <c r="S484" s="145">
        <v>0</v>
      </c>
      <c r="T484" s="146">
        <f>S484*H484</f>
        <v>0</v>
      </c>
      <c r="U484" s="31"/>
      <c r="V484" s="31"/>
      <c r="W484" s="31"/>
      <c r="X484" s="31"/>
      <c r="Y484" s="31"/>
      <c r="Z484" s="31"/>
      <c r="AA484" s="31"/>
      <c r="AB484" s="31"/>
      <c r="AC484" s="31"/>
      <c r="AD484" s="31"/>
      <c r="AE484" s="31"/>
      <c r="AR484" s="147" t="s">
        <v>200</v>
      </c>
      <c r="AT484" s="147" t="s">
        <v>141</v>
      </c>
      <c r="AU484" s="147" t="s">
        <v>82</v>
      </c>
      <c r="AY484" s="19" t="s">
        <v>138</v>
      </c>
      <c r="BE484" s="148">
        <f>IF(N484="základní",J484,0)</f>
        <v>0</v>
      </c>
      <c r="BF484" s="148">
        <f>IF(N484="snížená",J484,0)</f>
        <v>0</v>
      </c>
      <c r="BG484" s="148">
        <f>IF(N484="zákl. přenesená",J484,0)</f>
        <v>0</v>
      </c>
      <c r="BH484" s="148">
        <f>IF(N484="sníž. přenesená",J484,0)</f>
        <v>0</v>
      </c>
      <c r="BI484" s="148">
        <f>IF(N484="nulová",J484,0)</f>
        <v>0</v>
      </c>
      <c r="BJ484" s="19" t="s">
        <v>80</v>
      </c>
      <c r="BK484" s="148">
        <f>ROUND(I484*H484,2)</f>
        <v>0</v>
      </c>
      <c r="BL484" s="19" t="s">
        <v>200</v>
      </c>
      <c r="BM484" s="147" t="s">
        <v>442</v>
      </c>
    </row>
    <row r="485" spans="1:65" s="2" customFormat="1" ht="29.25">
      <c r="A485" s="31"/>
      <c r="B485" s="32"/>
      <c r="C485" s="31"/>
      <c r="D485" s="150" t="s">
        <v>149</v>
      </c>
      <c r="E485" s="31"/>
      <c r="F485" s="163" t="s">
        <v>443</v>
      </c>
      <c r="G485" s="31"/>
      <c r="H485" s="31"/>
      <c r="I485" s="279"/>
      <c r="J485" s="31"/>
      <c r="K485" s="31"/>
      <c r="L485" s="32"/>
      <c r="M485" s="164"/>
      <c r="N485" s="165"/>
      <c r="O485" s="52"/>
      <c r="P485" s="52"/>
      <c r="Q485" s="52"/>
      <c r="R485" s="52"/>
      <c r="S485" s="52"/>
      <c r="T485" s="53"/>
      <c r="U485" s="31"/>
      <c r="W485" s="31"/>
      <c r="X485" s="31"/>
      <c r="Y485" s="31"/>
      <c r="Z485" s="31"/>
      <c r="AA485" s="31"/>
      <c r="AB485" s="31"/>
      <c r="AC485" s="31"/>
      <c r="AD485" s="31"/>
      <c r="AE485" s="31"/>
      <c r="AT485" s="19" t="s">
        <v>149</v>
      </c>
      <c r="AU485" s="19" t="s">
        <v>82</v>
      </c>
    </row>
    <row r="486" spans="1:65" s="13" customFormat="1">
      <c r="B486" s="149"/>
      <c r="D486" s="150" t="s">
        <v>145</v>
      </c>
      <c r="E486" s="151" t="s">
        <v>3</v>
      </c>
      <c r="F486" s="152" t="s">
        <v>1524</v>
      </c>
      <c r="H486" s="151" t="s">
        <v>3</v>
      </c>
      <c r="I486" s="282"/>
      <c r="L486" s="149"/>
      <c r="M486" s="153"/>
      <c r="N486" s="154"/>
      <c r="O486" s="154"/>
      <c r="P486" s="154"/>
      <c r="Q486" s="154"/>
      <c r="R486" s="154"/>
      <c r="S486" s="154"/>
      <c r="T486" s="155"/>
      <c r="AT486" s="151" t="s">
        <v>145</v>
      </c>
      <c r="AU486" s="151" t="s">
        <v>82</v>
      </c>
      <c r="AV486" s="13" t="s">
        <v>80</v>
      </c>
      <c r="AW486" s="13" t="s">
        <v>34</v>
      </c>
      <c r="AX486" s="13" t="s">
        <v>72</v>
      </c>
      <c r="AY486" s="151" t="s">
        <v>138</v>
      </c>
    </row>
    <row r="487" spans="1:65" s="13" customFormat="1">
      <c r="B487" s="149"/>
      <c r="D487" s="150" t="s">
        <v>145</v>
      </c>
      <c r="E487" s="151" t="s">
        <v>3</v>
      </c>
      <c r="F487" s="152" t="s">
        <v>156</v>
      </c>
      <c r="H487" s="151" t="s">
        <v>3</v>
      </c>
      <c r="I487" s="282"/>
      <c r="L487" s="149"/>
      <c r="M487" s="153"/>
      <c r="N487" s="154"/>
      <c r="O487" s="154"/>
      <c r="P487" s="154"/>
      <c r="Q487" s="154"/>
      <c r="R487" s="154"/>
      <c r="S487" s="154"/>
      <c r="T487" s="155"/>
      <c r="AT487" s="151" t="s">
        <v>145</v>
      </c>
      <c r="AU487" s="151" t="s">
        <v>82</v>
      </c>
      <c r="AV487" s="13" t="s">
        <v>80</v>
      </c>
      <c r="AW487" s="13" t="s">
        <v>34</v>
      </c>
      <c r="AX487" s="13" t="s">
        <v>72</v>
      </c>
      <c r="AY487" s="151" t="s">
        <v>138</v>
      </c>
    </row>
    <row r="488" spans="1:65" s="14" customFormat="1">
      <c r="B488" s="156"/>
      <c r="D488" s="150" t="s">
        <v>145</v>
      </c>
      <c r="E488" s="157" t="s">
        <v>3</v>
      </c>
      <c r="F488" s="158" t="s">
        <v>1525</v>
      </c>
      <c r="H488" s="159">
        <f>7.66*1.5-0.78*1.5</f>
        <v>10.32</v>
      </c>
      <c r="I488" s="280"/>
      <c r="L488" s="156"/>
      <c r="M488" s="160"/>
      <c r="N488" s="161"/>
      <c r="O488" s="161"/>
      <c r="P488" s="161"/>
      <c r="Q488" s="161"/>
      <c r="R488" s="161"/>
      <c r="S488" s="161"/>
      <c r="T488" s="162"/>
      <c r="AT488" s="157" t="s">
        <v>145</v>
      </c>
      <c r="AU488" s="157" t="s">
        <v>82</v>
      </c>
      <c r="AV488" s="14" t="s">
        <v>82</v>
      </c>
      <c r="AW488" s="14" t="s">
        <v>34</v>
      </c>
      <c r="AX488" s="14" t="s">
        <v>72</v>
      </c>
      <c r="AY488" s="157" t="s">
        <v>138</v>
      </c>
    </row>
    <row r="489" spans="1:65" s="14" customFormat="1">
      <c r="B489" s="156"/>
      <c r="D489" s="150" t="s">
        <v>145</v>
      </c>
      <c r="E489" s="157" t="s">
        <v>3</v>
      </c>
      <c r="F489" s="158" t="s">
        <v>1526</v>
      </c>
      <c r="H489" s="159">
        <f>7.9*2.1-0.68*2.01*2</f>
        <v>13.856400000000001</v>
      </c>
      <c r="I489" s="280"/>
      <c r="L489" s="156"/>
      <c r="M489" s="160"/>
      <c r="N489" s="161"/>
      <c r="O489" s="161"/>
      <c r="P489" s="161"/>
      <c r="Q489" s="161"/>
      <c r="R489" s="161"/>
      <c r="S489" s="161"/>
      <c r="T489" s="162"/>
      <c r="AT489" s="157" t="s">
        <v>145</v>
      </c>
      <c r="AU489" s="157" t="s">
        <v>82</v>
      </c>
      <c r="AV489" s="14" t="s">
        <v>82</v>
      </c>
      <c r="AW489" s="14" t="s">
        <v>34</v>
      </c>
      <c r="AX489" s="14" t="s">
        <v>72</v>
      </c>
      <c r="AY489" s="157" t="s">
        <v>138</v>
      </c>
    </row>
    <row r="490" spans="1:65" s="14" customFormat="1">
      <c r="B490" s="156"/>
      <c r="D490" s="150" t="s">
        <v>145</v>
      </c>
      <c r="E490" s="157" t="s">
        <v>3</v>
      </c>
      <c r="F490" s="158" t="s">
        <v>1527</v>
      </c>
      <c r="H490" s="159">
        <f>4.26*1.5-0.68*1.5</f>
        <v>5.3699999999999992</v>
      </c>
      <c r="I490" s="280"/>
      <c r="L490" s="156"/>
      <c r="M490" s="160"/>
      <c r="N490" s="161"/>
      <c r="O490" s="161"/>
      <c r="P490" s="161"/>
      <c r="Q490" s="161"/>
      <c r="R490" s="161"/>
      <c r="S490" s="161"/>
      <c r="T490" s="162"/>
      <c r="AT490" s="157" t="s">
        <v>145</v>
      </c>
      <c r="AU490" s="157" t="s">
        <v>82</v>
      </c>
      <c r="AV490" s="14" t="s">
        <v>82</v>
      </c>
      <c r="AW490" s="14" t="s">
        <v>34</v>
      </c>
      <c r="AX490" s="14" t="s">
        <v>72</v>
      </c>
      <c r="AY490" s="157" t="s">
        <v>138</v>
      </c>
    </row>
    <row r="491" spans="1:65" s="14" customFormat="1">
      <c r="B491" s="156"/>
      <c r="D491" s="150" t="s">
        <v>145</v>
      </c>
      <c r="E491" s="157" t="s">
        <v>3</v>
      </c>
      <c r="F491" s="158" t="s">
        <v>1529</v>
      </c>
      <c r="H491" s="159">
        <f>(1.88+1.84)*2*1.5-0.68*1.5*3-1.5*0.35</f>
        <v>7.5749999999999993</v>
      </c>
      <c r="I491" s="280"/>
      <c r="L491" s="156"/>
      <c r="M491" s="160"/>
      <c r="N491" s="161"/>
      <c r="O491" s="161"/>
      <c r="P491" s="161"/>
      <c r="Q491" s="161"/>
      <c r="R491" s="161"/>
      <c r="S491" s="161"/>
      <c r="T491" s="162"/>
      <c r="AT491" s="157" t="s">
        <v>145</v>
      </c>
      <c r="AU491" s="157" t="s">
        <v>82</v>
      </c>
      <c r="AV491" s="14" t="s">
        <v>82</v>
      </c>
      <c r="AW491" s="14" t="s">
        <v>34</v>
      </c>
      <c r="AX491" s="14" t="s">
        <v>72</v>
      </c>
      <c r="AY491" s="157" t="s">
        <v>138</v>
      </c>
    </row>
    <row r="492" spans="1:65" s="14" customFormat="1">
      <c r="B492" s="156"/>
      <c r="D492" s="150" t="s">
        <v>145</v>
      </c>
      <c r="E492" s="157" t="s">
        <v>3</v>
      </c>
      <c r="F492" s="158" t="s">
        <v>1528</v>
      </c>
      <c r="H492" s="159">
        <f>5.46*1.5-0.78*1.5</f>
        <v>7.02</v>
      </c>
      <c r="I492" s="280"/>
      <c r="L492" s="156"/>
      <c r="M492" s="160"/>
      <c r="N492" s="161"/>
      <c r="O492" s="161"/>
      <c r="P492" s="161"/>
      <c r="Q492" s="161"/>
      <c r="R492" s="161"/>
      <c r="S492" s="161"/>
      <c r="T492" s="162"/>
      <c r="AT492" s="157" t="s">
        <v>145</v>
      </c>
      <c r="AU492" s="157" t="s">
        <v>82</v>
      </c>
      <c r="AV492" s="14" t="s">
        <v>82</v>
      </c>
      <c r="AW492" s="14" t="s">
        <v>34</v>
      </c>
      <c r="AX492" s="14" t="s">
        <v>72</v>
      </c>
      <c r="AY492" s="157" t="s">
        <v>138</v>
      </c>
    </row>
    <row r="493" spans="1:65" s="14" customFormat="1">
      <c r="B493" s="156"/>
      <c r="D493" s="150" t="s">
        <v>145</v>
      </c>
      <c r="E493" s="157" t="s">
        <v>3</v>
      </c>
      <c r="F493" s="158" t="s">
        <v>1528</v>
      </c>
      <c r="H493" s="159">
        <f>5.46*1.5-0.78*1.5</f>
        <v>7.02</v>
      </c>
      <c r="I493" s="280"/>
      <c r="L493" s="156"/>
      <c r="M493" s="160"/>
      <c r="N493" s="161"/>
      <c r="O493" s="161"/>
      <c r="P493" s="161"/>
      <c r="Q493" s="161"/>
      <c r="R493" s="161"/>
      <c r="S493" s="161"/>
      <c r="T493" s="162"/>
      <c r="AT493" s="157" t="s">
        <v>145</v>
      </c>
      <c r="AU493" s="157" t="s">
        <v>82</v>
      </c>
      <c r="AV493" s="14" t="s">
        <v>82</v>
      </c>
      <c r="AW493" s="14" t="s">
        <v>34</v>
      </c>
      <c r="AX493" s="14" t="s">
        <v>72</v>
      </c>
      <c r="AY493" s="157" t="s">
        <v>138</v>
      </c>
    </row>
    <row r="494" spans="1:65" s="16" customFormat="1">
      <c r="B494" s="182"/>
      <c r="D494" s="150" t="s">
        <v>145</v>
      </c>
      <c r="E494" s="183" t="s">
        <v>3</v>
      </c>
      <c r="F494" s="184" t="s">
        <v>219</v>
      </c>
      <c r="H494" s="185">
        <f>SUM(H488:H493)</f>
        <v>51.161399999999986</v>
      </c>
      <c r="I494" s="283"/>
      <c r="L494" s="182"/>
      <c r="M494" s="186"/>
      <c r="N494" s="187"/>
      <c r="O494" s="187"/>
      <c r="P494" s="187"/>
      <c r="Q494" s="187"/>
      <c r="R494" s="187"/>
      <c r="S494" s="187"/>
      <c r="T494" s="188"/>
      <c r="AT494" s="183" t="s">
        <v>145</v>
      </c>
      <c r="AU494" s="183" t="s">
        <v>82</v>
      </c>
      <c r="AV494" s="16" t="s">
        <v>139</v>
      </c>
      <c r="AW494" s="16" t="s">
        <v>34</v>
      </c>
      <c r="AX494" s="16" t="s">
        <v>72</v>
      </c>
      <c r="AY494" s="183" t="s">
        <v>138</v>
      </c>
    </row>
    <row r="495" spans="1:65" s="13" customFormat="1">
      <c r="B495" s="149"/>
      <c r="D495" s="150" t="s">
        <v>145</v>
      </c>
      <c r="E495" s="151" t="s">
        <v>3</v>
      </c>
      <c r="F495" s="152" t="s">
        <v>157</v>
      </c>
      <c r="H495" s="151" t="s">
        <v>3</v>
      </c>
      <c r="I495" s="282"/>
      <c r="L495" s="149"/>
      <c r="M495" s="153"/>
      <c r="N495" s="154"/>
      <c r="O495" s="154"/>
      <c r="P495" s="154"/>
      <c r="Q495" s="154"/>
      <c r="R495" s="154"/>
      <c r="S495" s="154"/>
      <c r="T495" s="155"/>
      <c r="AT495" s="151" t="s">
        <v>145</v>
      </c>
      <c r="AU495" s="151" t="s">
        <v>82</v>
      </c>
      <c r="AV495" s="13" t="s">
        <v>80</v>
      </c>
      <c r="AW495" s="13" t="s">
        <v>34</v>
      </c>
      <c r="AX495" s="13" t="s">
        <v>72</v>
      </c>
      <c r="AY495" s="151" t="s">
        <v>138</v>
      </c>
    </row>
    <row r="496" spans="1:65" s="14" customFormat="1">
      <c r="B496" s="156"/>
      <c r="D496" s="150" t="s">
        <v>145</v>
      </c>
      <c r="E496" s="157" t="s">
        <v>3</v>
      </c>
      <c r="F496" s="158" t="s">
        <v>1530</v>
      </c>
      <c r="H496" s="159">
        <f>6.56*1.5-0.68*2*1.5-0.78*1.5</f>
        <v>6.63</v>
      </c>
      <c r="I496" s="280"/>
      <c r="L496" s="156"/>
      <c r="M496" s="160"/>
      <c r="N496" s="161"/>
      <c r="O496" s="161"/>
      <c r="P496" s="161"/>
      <c r="Q496" s="161"/>
      <c r="R496" s="161"/>
      <c r="S496" s="161"/>
      <c r="T496" s="162"/>
      <c r="AT496" s="157" t="s">
        <v>145</v>
      </c>
      <c r="AU496" s="157" t="s">
        <v>82</v>
      </c>
      <c r="AV496" s="14" t="s">
        <v>82</v>
      </c>
      <c r="AW496" s="14" t="s">
        <v>34</v>
      </c>
      <c r="AX496" s="14" t="s">
        <v>72</v>
      </c>
      <c r="AY496" s="157" t="s">
        <v>138</v>
      </c>
    </row>
    <row r="497" spans="1:65" s="14" customFormat="1">
      <c r="B497" s="156"/>
      <c r="D497" s="150" t="s">
        <v>145</v>
      </c>
      <c r="E497" s="157" t="s">
        <v>3</v>
      </c>
      <c r="F497" s="158" t="s">
        <v>1531</v>
      </c>
      <c r="H497" s="159">
        <f>5.78*1.5-0.68*1.5</f>
        <v>7.65</v>
      </c>
      <c r="I497" s="280"/>
      <c r="L497" s="156"/>
      <c r="M497" s="160"/>
      <c r="N497" s="161"/>
      <c r="O497" s="161"/>
      <c r="P497" s="161"/>
      <c r="Q497" s="161"/>
      <c r="R497" s="161"/>
      <c r="S497" s="161"/>
      <c r="T497" s="162"/>
      <c r="AT497" s="157" t="s">
        <v>145</v>
      </c>
      <c r="AU497" s="157" t="s">
        <v>82</v>
      </c>
      <c r="AV497" s="14" t="s">
        <v>82</v>
      </c>
      <c r="AW497" s="14" t="s">
        <v>34</v>
      </c>
      <c r="AX497" s="14" t="s">
        <v>72</v>
      </c>
      <c r="AY497" s="157" t="s">
        <v>138</v>
      </c>
    </row>
    <row r="498" spans="1:65" s="14" customFormat="1">
      <c r="B498" s="156"/>
      <c r="D498" s="150" t="s">
        <v>145</v>
      </c>
      <c r="E498" s="157" t="s">
        <v>3</v>
      </c>
      <c r="F498" s="158" t="s">
        <v>1532</v>
      </c>
      <c r="H498" s="159">
        <f>6.244*1.5-0.78*1.5</f>
        <v>8.1959999999999997</v>
      </c>
      <c r="I498" s="280"/>
      <c r="L498" s="156"/>
      <c r="M498" s="160"/>
      <c r="N498" s="161"/>
      <c r="O498" s="161"/>
      <c r="P498" s="161"/>
      <c r="Q498" s="161"/>
      <c r="R498" s="161"/>
      <c r="S498" s="161"/>
      <c r="T498" s="162"/>
      <c r="AT498" s="157" t="s">
        <v>145</v>
      </c>
      <c r="AU498" s="157" t="s">
        <v>82</v>
      </c>
      <c r="AV498" s="14" t="s">
        <v>82</v>
      </c>
      <c r="AW498" s="14" t="s">
        <v>34</v>
      </c>
      <c r="AX498" s="14" t="s">
        <v>72</v>
      </c>
      <c r="AY498" s="157" t="s">
        <v>138</v>
      </c>
    </row>
    <row r="499" spans="1:65" s="14" customFormat="1">
      <c r="B499" s="156"/>
      <c r="D499" s="150" t="s">
        <v>145</v>
      </c>
      <c r="E499" s="157" t="s">
        <v>3</v>
      </c>
      <c r="F499" s="158" t="s">
        <v>1533</v>
      </c>
      <c r="H499" s="159">
        <f>8.84*2.1-0.78*2.01</f>
        <v>16.996200000000002</v>
      </c>
      <c r="I499" s="280"/>
      <c r="L499" s="156"/>
      <c r="M499" s="160"/>
      <c r="N499" s="161"/>
      <c r="O499" s="161"/>
      <c r="P499" s="161"/>
      <c r="Q499" s="161"/>
      <c r="R499" s="161"/>
      <c r="S499" s="161"/>
      <c r="T499" s="162"/>
      <c r="AT499" s="157" t="s">
        <v>145</v>
      </c>
      <c r="AU499" s="157" t="s">
        <v>82</v>
      </c>
      <c r="AV499" s="14" t="s">
        <v>82</v>
      </c>
      <c r="AW499" s="14" t="s">
        <v>34</v>
      </c>
      <c r="AX499" s="14" t="s">
        <v>72</v>
      </c>
      <c r="AY499" s="157" t="s">
        <v>138</v>
      </c>
    </row>
    <row r="500" spans="1:65" s="16" customFormat="1">
      <c r="B500" s="182"/>
      <c r="D500" s="150" t="s">
        <v>145</v>
      </c>
      <c r="E500" s="183" t="s">
        <v>3</v>
      </c>
      <c r="F500" s="184" t="s">
        <v>219</v>
      </c>
      <c r="H500" s="185">
        <f>H496+H497+H498+H499</f>
        <v>39.472200000000001</v>
      </c>
      <c r="I500" s="283"/>
      <c r="L500" s="182"/>
      <c r="M500" s="186"/>
      <c r="N500" s="187"/>
      <c r="O500" s="187"/>
      <c r="P500" s="187"/>
      <c r="Q500" s="187"/>
      <c r="R500" s="187"/>
      <c r="S500" s="187"/>
      <c r="T500" s="188"/>
      <c r="AT500" s="183" t="s">
        <v>145</v>
      </c>
      <c r="AU500" s="183" t="s">
        <v>82</v>
      </c>
      <c r="AV500" s="16" t="s">
        <v>139</v>
      </c>
      <c r="AW500" s="16" t="s">
        <v>34</v>
      </c>
      <c r="AX500" s="16" t="s">
        <v>72</v>
      </c>
      <c r="AY500" s="183" t="s">
        <v>138</v>
      </c>
    </row>
    <row r="501" spans="1:65" s="15" customFormat="1">
      <c r="B501" s="166"/>
      <c r="D501" s="150" t="s">
        <v>145</v>
      </c>
      <c r="E501" s="167" t="s">
        <v>3</v>
      </c>
      <c r="F501" s="168" t="s">
        <v>151</v>
      </c>
      <c r="H501" s="169">
        <f>H494+H500</f>
        <v>90.633599999999987</v>
      </c>
      <c r="I501" s="284"/>
      <c r="L501" s="166"/>
      <c r="M501" s="170"/>
      <c r="N501" s="171"/>
      <c r="O501" s="171"/>
      <c r="P501" s="171"/>
      <c r="Q501" s="171"/>
      <c r="R501" s="171"/>
      <c r="S501" s="171"/>
      <c r="T501" s="172"/>
      <c r="AT501" s="167" t="s">
        <v>145</v>
      </c>
      <c r="AU501" s="167" t="s">
        <v>82</v>
      </c>
      <c r="AV501" s="15" t="s">
        <v>144</v>
      </c>
      <c r="AW501" s="15" t="s">
        <v>34</v>
      </c>
      <c r="AX501" s="15" t="s">
        <v>80</v>
      </c>
      <c r="AY501" s="167" t="s">
        <v>138</v>
      </c>
    </row>
    <row r="502" spans="1:65" s="2" customFormat="1" ht="37.9" customHeight="1">
      <c r="A502" s="31"/>
      <c r="B502" s="136"/>
      <c r="C502" s="173">
        <v>83</v>
      </c>
      <c r="D502" s="173" t="s">
        <v>164</v>
      </c>
      <c r="E502" s="174" t="s">
        <v>371</v>
      </c>
      <c r="F502" s="175" t="s">
        <v>1503</v>
      </c>
      <c r="G502" s="176" t="s">
        <v>173</v>
      </c>
      <c r="H502" s="177">
        <f>H484*1.21</f>
        <v>109.66665599999997</v>
      </c>
      <c r="I502" s="281"/>
      <c r="J502" s="178">
        <f>ROUND(I502*H502,2)</f>
        <v>0</v>
      </c>
      <c r="K502" s="175" t="s">
        <v>143</v>
      </c>
      <c r="L502" s="179"/>
      <c r="M502" s="180" t="s">
        <v>3</v>
      </c>
      <c r="N502" s="181" t="s">
        <v>43</v>
      </c>
      <c r="O502" s="145">
        <v>0</v>
      </c>
      <c r="P502" s="145">
        <f>O502*H502</f>
        <v>0</v>
      </c>
      <c r="Q502" s="145">
        <v>2.5000000000000001E-2</v>
      </c>
      <c r="R502" s="145">
        <f>Q502*H502</f>
        <v>2.7416663999999997</v>
      </c>
      <c r="S502" s="145">
        <v>0</v>
      </c>
      <c r="T502" s="146">
        <f>S502*H502</f>
        <v>0</v>
      </c>
      <c r="U502" s="31"/>
      <c r="V502" s="31"/>
      <c r="W502" s="31"/>
      <c r="X502" s="31"/>
      <c r="Y502" s="31"/>
      <c r="Z502" s="31"/>
      <c r="AA502" s="31"/>
      <c r="AB502" s="31"/>
      <c r="AC502" s="31"/>
      <c r="AD502" s="31"/>
      <c r="AE502" s="31"/>
      <c r="AR502" s="147" t="s">
        <v>224</v>
      </c>
      <c r="AT502" s="147" t="s">
        <v>164</v>
      </c>
      <c r="AU502" s="147" t="s">
        <v>82</v>
      </c>
      <c r="AY502" s="19" t="s">
        <v>138</v>
      </c>
      <c r="BE502" s="148">
        <f>IF(N502="základní",J502,0)</f>
        <v>0</v>
      </c>
      <c r="BF502" s="148">
        <f>IF(N502="snížená",J502,0)</f>
        <v>0</v>
      </c>
      <c r="BG502" s="148">
        <f>IF(N502="zákl. přenesená",J502,0)</f>
        <v>0</v>
      </c>
      <c r="BH502" s="148">
        <f>IF(N502="sníž. přenesená",J502,0)</f>
        <v>0</v>
      </c>
      <c r="BI502" s="148">
        <f>IF(N502="nulová",J502,0)</f>
        <v>0</v>
      </c>
      <c r="BJ502" s="19" t="s">
        <v>80</v>
      </c>
      <c r="BK502" s="148">
        <f>ROUND(I502*H502,2)</f>
        <v>0</v>
      </c>
      <c r="BL502" s="19" t="s">
        <v>200</v>
      </c>
      <c r="BM502" s="147" t="s">
        <v>444</v>
      </c>
    </row>
    <row r="503" spans="1:65" s="2" customFormat="1" ht="24.2" customHeight="1">
      <c r="A503" s="31"/>
      <c r="B503" s="136"/>
      <c r="C503" s="137">
        <v>84</v>
      </c>
      <c r="D503" s="137" t="s">
        <v>141</v>
      </c>
      <c r="E503" s="138" t="s">
        <v>445</v>
      </c>
      <c r="F503" s="139" t="s">
        <v>446</v>
      </c>
      <c r="G503" s="140" t="s">
        <v>173</v>
      </c>
      <c r="H503" s="141">
        <f>H490+H491+H492+H493+H496+H497+H498</f>
        <v>49.460999999999991</v>
      </c>
      <c r="I503" s="278"/>
      <c r="J503" s="142">
        <f>ROUND(I503*H503,2)</f>
        <v>0</v>
      </c>
      <c r="K503" s="139" t="s">
        <v>148</v>
      </c>
      <c r="L503" s="32"/>
      <c r="M503" s="143" t="s">
        <v>3</v>
      </c>
      <c r="N503" s="144" t="s">
        <v>43</v>
      </c>
      <c r="O503" s="145">
        <v>0.13</v>
      </c>
      <c r="P503" s="145">
        <f>O503*H503</f>
        <v>6.4299299999999988</v>
      </c>
      <c r="Q503" s="145">
        <v>0</v>
      </c>
      <c r="R503" s="145">
        <f>Q503*H503</f>
        <v>0</v>
      </c>
      <c r="S503" s="145">
        <v>0</v>
      </c>
      <c r="T503" s="146">
        <f>S503*H503</f>
        <v>0</v>
      </c>
      <c r="U503" s="31"/>
      <c r="V503" s="31"/>
      <c r="W503" s="31"/>
      <c r="X503" s="31"/>
      <c r="Y503" s="31"/>
      <c r="Z503" s="31"/>
      <c r="AA503" s="31"/>
      <c r="AB503" s="31"/>
      <c r="AC503" s="31"/>
      <c r="AD503" s="31"/>
      <c r="AE503" s="31"/>
      <c r="AR503" s="147" t="s">
        <v>200</v>
      </c>
      <c r="AT503" s="147" t="s">
        <v>141</v>
      </c>
      <c r="AU503" s="147" t="s">
        <v>82</v>
      </c>
      <c r="AY503" s="19" t="s">
        <v>138</v>
      </c>
      <c r="BE503" s="148">
        <f>IF(N503="základní",J503,0)</f>
        <v>0</v>
      </c>
      <c r="BF503" s="148">
        <f>IF(N503="snížená",J503,0)</f>
        <v>0</v>
      </c>
      <c r="BG503" s="148">
        <f>IF(N503="zákl. přenesená",J503,0)</f>
        <v>0</v>
      </c>
      <c r="BH503" s="148">
        <f>IF(N503="sníž. přenesená",J503,0)</f>
        <v>0</v>
      </c>
      <c r="BI503" s="148">
        <f>IF(N503="nulová",J503,0)</f>
        <v>0</v>
      </c>
      <c r="BJ503" s="19" t="s">
        <v>80</v>
      </c>
      <c r="BK503" s="148">
        <f>ROUND(I503*H503,2)</f>
        <v>0</v>
      </c>
      <c r="BL503" s="19" t="s">
        <v>200</v>
      </c>
      <c r="BM503" s="147" t="s">
        <v>447</v>
      </c>
    </row>
    <row r="504" spans="1:65" s="2" customFormat="1" ht="29.25">
      <c r="A504" s="31"/>
      <c r="B504" s="32"/>
      <c r="C504" s="31"/>
      <c r="D504" s="150" t="s">
        <v>149</v>
      </c>
      <c r="E504" s="31"/>
      <c r="F504" s="163" t="s">
        <v>443</v>
      </c>
      <c r="G504" s="31"/>
      <c r="H504" s="31"/>
      <c r="I504" s="279"/>
      <c r="J504" s="31"/>
      <c r="K504" s="31"/>
      <c r="L504" s="32"/>
      <c r="M504" s="164"/>
      <c r="N504" s="165"/>
      <c r="O504" s="52"/>
      <c r="P504" s="52"/>
      <c r="Q504" s="52"/>
      <c r="R504" s="52"/>
      <c r="S504" s="52"/>
      <c r="T504" s="53"/>
      <c r="U504" s="31"/>
      <c r="V504" s="31"/>
      <c r="W504" s="31"/>
      <c r="X504" s="31"/>
      <c r="Y504" s="31"/>
      <c r="Z504" s="31"/>
      <c r="AA504" s="31"/>
      <c r="AB504" s="31"/>
      <c r="AC504" s="31"/>
      <c r="AD504" s="31"/>
      <c r="AE504" s="31"/>
      <c r="AT504" s="19" t="s">
        <v>149</v>
      </c>
      <c r="AU504" s="19" t="s">
        <v>82</v>
      </c>
    </row>
    <row r="505" spans="1:65" s="2" customFormat="1" ht="24.2" customHeight="1">
      <c r="A505" s="31"/>
      <c r="B505" s="136"/>
      <c r="C505" s="137">
        <v>85</v>
      </c>
      <c r="D505" s="137" t="s">
        <v>141</v>
      </c>
      <c r="E505" s="138" t="s">
        <v>448</v>
      </c>
      <c r="F505" s="139" t="s">
        <v>449</v>
      </c>
      <c r="G505" s="140" t="s">
        <v>173</v>
      </c>
      <c r="H505" s="141">
        <f>H484</f>
        <v>90.633599999999987</v>
      </c>
      <c r="I505" s="278"/>
      <c r="J505" s="142">
        <f>ROUND(I505*H505,2)</f>
        <v>0</v>
      </c>
      <c r="K505" s="139" t="s">
        <v>148</v>
      </c>
      <c r="L505" s="32"/>
      <c r="M505" s="143" t="s">
        <v>3</v>
      </c>
      <c r="N505" s="144" t="s">
        <v>43</v>
      </c>
      <c r="O505" s="145">
        <v>0.1</v>
      </c>
      <c r="P505" s="145">
        <f>O505*H505</f>
        <v>9.0633599999999994</v>
      </c>
      <c r="Q505" s="145">
        <v>0</v>
      </c>
      <c r="R505" s="145">
        <f>Q505*H505</f>
        <v>0</v>
      </c>
      <c r="S505" s="145">
        <v>0</v>
      </c>
      <c r="T505" s="146">
        <f>S505*H505</f>
        <v>0</v>
      </c>
      <c r="U505" s="31"/>
      <c r="V505" s="31"/>
      <c r="W505" s="31"/>
      <c r="X505" s="31"/>
      <c r="Y505" s="31"/>
      <c r="Z505" s="31"/>
      <c r="AA505" s="31"/>
      <c r="AB505" s="31"/>
      <c r="AC505" s="31"/>
      <c r="AD505" s="31"/>
      <c r="AE505" s="31"/>
      <c r="AR505" s="147" t="s">
        <v>200</v>
      </c>
      <c r="AT505" s="147" t="s">
        <v>141</v>
      </c>
      <c r="AU505" s="147" t="s">
        <v>82</v>
      </c>
      <c r="AY505" s="19" t="s">
        <v>138</v>
      </c>
      <c r="BE505" s="148">
        <f>IF(N505="základní",J505,0)</f>
        <v>0</v>
      </c>
      <c r="BF505" s="148">
        <f>IF(N505="snížená",J505,0)</f>
        <v>0</v>
      </c>
      <c r="BG505" s="148">
        <f>IF(N505="zákl. přenesená",J505,0)</f>
        <v>0</v>
      </c>
      <c r="BH505" s="148">
        <f>IF(N505="sníž. přenesená",J505,0)</f>
        <v>0</v>
      </c>
      <c r="BI505" s="148">
        <f>IF(N505="nulová",J505,0)</f>
        <v>0</v>
      </c>
      <c r="BJ505" s="19" t="s">
        <v>80</v>
      </c>
      <c r="BK505" s="148">
        <f>ROUND(I505*H505,2)</f>
        <v>0</v>
      </c>
      <c r="BL505" s="19" t="s">
        <v>200</v>
      </c>
      <c r="BM505" s="147" t="s">
        <v>450</v>
      </c>
    </row>
    <row r="506" spans="1:65" s="2" customFormat="1" ht="29.25">
      <c r="A506" s="31"/>
      <c r="B506" s="32"/>
      <c r="C506" s="31"/>
      <c r="D506" s="150" t="s">
        <v>149</v>
      </c>
      <c r="E506" s="31"/>
      <c r="F506" s="163" t="s">
        <v>443</v>
      </c>
      <c r="G506" s="31"/>
      <c r="H506" s="31"/>
      <c r="I506" s="279"/>
      <c r="J506" s="31"/>
      <c r="K506" s="31"/>
      <c r="L506" s="32"/>
      <c r="M506" s="164"/>
      <c r="N506" s="165"/>
      <c r="O506" s="52"/>
      <c r="P506" s="52"/>
      <c r="Q506" s="52"/>
      <c r="R506" s="52"/>
      <c r="S506" s="52"/>
      <c r="T506" s="53"/>
      <c r="U506" s="31"/>
      <c r="V506" s="31"/>
      <c r="W506" s="31"/>
      <c r="X506" s="31"/>
      <c r="Y506" s="31"/>
      <c r="Z506" s="31"/>
      <c r="AA506" s="31"/>
      <c r="AB506" s="31"/>
      <c r="AC506" s="31"/>
      <c r="AD506" s="31"/>
      <c r="AE506" s="31"/>
      <c r="AT506" s="19" t="s">
        <v>149</v>
      </c>
      <c r="AU506" s="19" t="s">
        <v>82</v>
      </c>
    </row>
    <row r="507" spans="1:65" s="2" customFormat="1" ht="24.2" customHeight="1">
      <c r="A507" s="31"/>
      <c r="B507" s="136"/>
      <c r="C507" s="137">
        <v>86</v>
      </c>
      <c r="D507" s="137" t="s">
        <v>141</v>
      </c>
      <c r="E507" s="138" t="s">
        <v>451</v>
      </c>
      <c r="F507" s="139" t="s">
        <v>452</v>
      </c>
      <c r="G507" s="140" t="s">
        <v>187</v>
      </c>
      <c r="H507" s="141">
        <f>H514</f>
        <v>54.694000000000003</v>
      </c>
      <c r="I507" s="278"/>
      <c r="J507" s="142">
        <f>ROUND(I507*H507,2)</f>
        <v>0</v>
      </c>
      <c r="K507" s="139" t="s">
        <v>148</v>
      </c>
      <c r="L507" s="32"/>
      <c r="M507" s="143" t="s">
        <v>3</v>
      </c>
      <c r="N507" s="144" t="s">
        <v>43</v>
      </c>
      <c r="O507" s="145">
        <v>0.248</v>
      </c>
      <c r="P507" s="145">
        <f>O507*H507</f>
        <v>13.564112</v>
      </c>
      <c r="Q507" s="145">
        <v>5.5000000000000003E-4</v>
      </c>
      <c r="R507" s="145">
        <f>Q507*H507</f>
        <v>3.0081700000000003E-2</v>
      </c>
      <c r="S507" s="145">
        <v>0</v>
      </c>
      <c r="T507" s="146">
        <f>S507*H507</f>
        <v>0</v>
      </c>
      <c r="U507" s="31"/>
      <c r="V507" s="31"/>
      <c r="W507" s="31"/>
      <c r="X507" s="31"/>
      <c r="Y507" s="31"/>
      <c r="Z507" s="31"/>
      <c r="AA507" s="31"/>
      <c r="AB507" s="31"/>
      <c r="AC507" s="31"/>
      <c r="AD507" s="31"/>
      <c r="AE507" s="31"/>
      <c r="AR507" s="147" t="s">
        <v>200</v>
      </c>
      <c r="AT507" s="147" t="s">
        <v>141</v>
      </c>
      <c r="AU507" s="147" t="s">
        <v>82</v>
      </c>
      <c r="AY507" s="19" t="s">
        <v>138</v>
      </c>
      <c r="BE507" s="148">
        <f>IF(N507="základní",J507,0)</f>
        <v>0</v>
      </c>
      <c r="BF507" s="148">
        <f>IF(N507="snížená",J507,0)</f>
        <v>0</v>
      </c>
      <c r="BG507" s="148">
        <f>IF(N507="zákl. přenesená",J507,0)</f>
        <v>0</v>
      </c>
      <c r="BH507" s="148">
        <f>IF(N507="sníž. přenesená",J507,0)</f>
        <v>0</v>
      </c>
      <c r="BI507" s="148">
        <f>IF(N507="nulová",J507,0)</f>
        <v>0</v>
      </c>
      <c r="BJ507" s="19" t="s">
        <v>80</v>
      </c>
      <c r="BK507" s="148">
        <f>ROUND(I507*H507,2)</f>
        <v>0</v>
      </c>
      <c r="BL507" s="19" t="s">
        <v>200</v>
      </c>
      <c r="BM507" s="147" t="s">
        <v>453</v>
      </c>
    </row>
    <row r="508" spans="1:65" s="2" customFormat="1" ht="58.5">
      <c r="A508" s="31"/>
      <c r="B508" s="32"/>
      <c r="C508" s="31"/>
      <c r="D508" s="150" t="s">
        <v>149</v>
      </c>
      <c r="E508" s="31"/>
      <c r="F508" s="163" t="s">
        <v>454</v>
      </c>
      <c r="G508" s="31"/>
      <c r="H508" s="31"/>
      <c r="I508" s="279"/>
      <c r="J508" s="31"/>
      <c r="K508" s="31"/>
      <c r="L508" s="32"/>
      <c r="M508" s="164"/>
      <c r="N508" s="165"/>
      <c r="O508" s="52"/>
      <c r="P508" s="52"/>
      <c r="Q508" s="52"/>
      <c r="R508" s="52"/>
      <c r="S508" s="52"/>
      <c r="T508" s="53"/>
      <c r="U508" s="31"/>
      <c r="V508" s="31"/>
      <c r="W508" s="31"/>
      <c r="X508" s="31"/>
      <c r="Y508" s="31"/>
      <c r="Z508" s="31"/>
      <c r="AA508" s="31"/>
      <c r="AB508" s="31"/>
      <c r="AC508" s="31"/>
      <c r="AD508" s="31"/>
      <c r="AE508" s="31"/>
      <c r="AT508" s="19" t="s">
        <v>149</v>
      </c>
      <c r="AU508" s="19" t="s">
        <v>82</v>
      </c>
    </row>
    <row r="509" spans="1:65" s="13" customFormat="1">
      <c r="B509" s="149"/>
      <c r="D509" s="150" t="s">
        <v>145</v>
      </c>
      <c r="E509" s="151" t="s">
        <v>3</v>
      </c>
      <c r="F509" s="152" t="s">
        <v>218</v>
      </c>
      <c r="H509" s="151" t="s">
        <v>3</v>
      </c>
      <c r="I509" s="282"/>
      <c r="L509" s="149"/>
      <c r="M509" s="153"/>
      <c r="N509" s="154"/>
      <c r="O509" s="154"/>
      <c r="P509" s="154"/>
      <c r="Q509" s="154"/>
      <c r="R509" s="154"/>
      <c r="S509" s="154"/>
      <c r="T509" s="155"/>
      <c r="AT509" s="151" t="s">
        <v>145</v>
      </c>
      <c r="AU509" s="151" t="s">
        <v>82</v>
      </c>
      <c r="AV509" s="13" t="s">
        <v>80</v>
      </c>
      <c r="AW509" s="13" t="s">
        <v>34</v>
      </c>
      <c r="AX509" s="13" t="s">
        <v>72</v>
      </c>
      <c r="AY509" s="151" t="s">
        <v>138</v>
      </c>
    </row>
    <row r="510" spans="1:65" s="13" customFormat="1">
      <c r="B510" s="149"/>
      <c r="D510" s="150" t="s">
        <v>145</v>
      </c>
      <c r="E510" s="151" t="s">
        <v>3</v>
      </c>
      <c r="F510" s="152" t="s">
        <v>156</v>
      </c>
      <c r="H510" s="151" t="s">
        <v>3</v>
      </c>
      <c r="I510" s="282"/>
      <c r="L510" s="149"/>
      <c r="M510" s="153"/>
      <c r="N510" s="154"/>
      <c r="O510" s="154"/>
      <c r="P510" s="154"/>
      <c r="Q510" s="154"/>
      <c r="R510" s="154"/>
      <c r="S510" s="154"/>
      <c r="T510" s="155"/>
      <c r="AT510" s="151" t="s">
        <v>145</v>
      </c>
      <c r="AU510" s="151" t="s">
        <v>82</v>
      </c>
      <c r="AV510" s="13" t="s">
        <v>80</v>
      </c>
      <c r="AW510" s="13" t="s">
        <v>34</v>
      </c>
      <c r="AX510" s="13" t="s">
        <v>72</v>
      </c>
      <c r="AY510" s="151" t="s">
        <v>138</v>
      </c>
    </row>
    <row r="511" spans="1:65" s="14" customFormat="1">
      <c r="B511" s="156"/>
      <c r="D511" s="150" t="s">
        <v>145</v>
      </c>
      <c r="E511" s="157" t="s">
        <v>3</v>
      </c>
      <c r="F511" s="158" t="s">
        <v>1535</v>
      </c>
      <c r="H511" s="159">
        <f>7.66-0.78+7.9+4.26-0.68+5.4-0.78*3+5.46-0.78+5.46-0.78</f>
        <v>30.779999999999998</v>
      </c>
      <c r="I511" s="280"/>
      <c r="L511" s="156"/>
      <c r="M511" s="160"/>
      <c r="N511" s="161"/>
      <c r="O511" s="161"/>
      <c r="P511" s="161"/>
      <c r="Q511" s="161"/>
      <c r="R511" s="161"/>
      <c r="S511" s="161"/>
      <c r="T511" s="162"/>
      <c r="AT511" s="157" t="s">
        <v>145</v>
      </c>
      <c r="AU511" s="157" t="s">
        <v>82</v>
      </c>
      <c r="AV511" s="14" t="s">
        <v>82</v>
      </c>
      <c r="AW511" s="14" t="s">
        <v>34</v>
      </c>
      <c r="AX511" s="14" t="s">
        <v>72</v>
      </c>
      <c r="AY511" s="157" t="s">
        <v>138</v>
      </c>
    </row>
    <row r="512" spans="1:65" s="13" customFormat="1">
      <c r="B512" s="149"/>
      <c r="D512" s="150" t="s">
        <v>145</v>
      </c>
      <c r="E512" s="151" t="s">
        <v>3</v>
      </c>
      <c r="F512" s="152" t="s">
        <v>157</v>
      </c>
      <c r="H512" s="151" t="s">
        <v>3</v>
      </c>
      <c r="I512" s="282"/>
      <c r="L512" s="149"/>
      <c r="M512" s="153"/>
      <c r="N512" s="154"/>
      <c r="O512" s="154"/>
      <c r="P512" s="154"/>
      <c r="Q512" s="154"/>
      <c r="R512" s="154"/>
      <c r="S512" s="154"/>
      <c r="T512" s="155"/>
      <c r="AT512" s="151" t="s">
        <v>145</v>
      </c>
      <c r="AU512" s="151" t="s">
        <v>82</v>
      </c>
      <c r="AV512" s="13" t="s">
        <v>80</v>
      </c>
      <c r="AW512" s="13" t="s">
        <v>34</v>
      </c>
      <c r="AX512" s="13" t="s">
        <v>72</v>
      </c>
      <c r="AY512" s="151" t="s">
        <v>138</v>
      </c>
    </row>
    <row r="513" spans="1:65" s="14" customFormat="1">
      <c r="B513" s="156"/>
      <c r="D513" s="150" t="s">
        <v>145</v>
      </c>
      <c r="E513" s="157" t="s">
        <v>3</v>
      </c>
      <c r="F513" s="158" t="s">
        <v>1534</v>
      </c>
      <c r="H513" s="159">
        <f>6.65-0.68*2-0.78+5.78-0.68+6.244-0.78+8.84</f>
        <v>23.914000000000001</v>
      </c>
      <c r="I513" s="280"/>
      <c r="L513" s="156"/>
      <c r="M513" s="160"/>
      <c r="N513" s="161"/>
      <c r="O513" s="161"/>
      <c r="P513" s="161"/>
      <c r="Q513" s="161"/>
      <c r="R513" s="161"/>
      <c r="S513" s="161"/>
      <c r="T513" s="162"/>
      <c r="AT513" s="157" t="s">
        <v>145</v>
      </c>
      <c r="AU513" s="157" t="s">
        <v>82</v>
      </c>
      <c r="AV513" s="14" t="s">
        <v>82</v>
      </c>
      <c r="AW513" s="14" t="s">
        <v>34</v>
      </c>
      <c r="AX513" s="14" t="s">
        <v>72</v>
      </c>
      <c r="AY513" s="157" t="s">
        <v>138</v>
      </c>
    </row>
    <row r="514" spans="1:65" s="15" customFormat="1">
      <c r="B514" s="166"/>
      <c r="D514" s="150" t="s">
        <v>145</v>
      </c>
      <c r="E514" s="167" t="s">
        <v>3</v>
      </c>
      <c r="F514" s="168" t="s">
        <v>151</v>
      </c>
      <c r="H514" s="169">
        <f>H511+H513</f>
        <v>54.694000000000003</v>
      </c>
      <c r="I514" s="284"/>
      <c r="L514" s="166"/>
      <c r="M514" s="170"/>
      <c r="N514" s="171"/>
      <c r="O514" s="171"/>
      <c r="P514" s="171"/>
      <c r="Q514" s="171"/>
      <c r="R514" s="171"/>
      <c r="S514" s="171"/>
      <c r="T514" s="172"/>
      <c r="AT514" s="167" t="s">
        <v>145</v>
      </c>
      <c r="AU514" s="167" t="s">
        <v>82</v>
      </c>
      <c r="AV514" s="15" t="s">
        <v>144</v>
      </c>
      <c r="AW514" s="15" t="s">
        <v>34</v>
      </c>
      <c r="AX514" s="15" t="s">
        <v>80</v>
      </c>
      <c r="AY514" s="167" t="s">
        <v>138</v>
      </c>
    </row>
    <row r="515" spans="1:65" s="2" customFormat="1" ht="24.2" customHeight="1">
      <c r="A515" s="31"/>
      <c r="B515" s="136"/>
      <c r="C515" s="137">
        <v>87</v>
      </c>
      <c r="D515" s="137" t="s">
        <v>141</v>
      </c>
      <c r="E515" s="138" t="s">
        <v>455</v>
      </c>
      <c r="F515" s="139" t="s">
        <v>456</v>
      </c>
      <c r="G515" s="140" t="s">
        <v>187</v>
      </c>
      <c r="H515" s="141">
        <f>H507</f>
        <v>54.694000000000003</v>
      </c>
      <c r="I515" s="278"/>
      <c r="J515" s="142">
        <f>ROUND(I515*H515,2)</f>
        <v>0</v>
      </c>
      <c r="K515" s="139" t="s">
        <v>148</v>
      </c>
      <c r="L515" s="32"/>
      <c r="M515" s="143" t="s">
        <v>3</v>
      </c>
      <c r="N515" s="144" t="s">
        <v>43</v>
      </c>
      <c r="O515" s="145">
        <v>0.16</v>
      </c>
      <c r="P515" s="145">
        <f>O515*H515</f>
        <v>8.7510400000000015</v>
      </c>
      <c r="Q515" s="145">
        <v>5.0000000000000001E-4</v>
      </c>
      <c r="R515" s="145">
        <f>Q515*H515</f>
        <v>2.7347000000000003E-2</v>
      </c>
      <c r="S515" s="145">
        <v>0</v>
      </c>
      <c r="T515" s="146">
        <f>S515*H515</f>
        <v>0</v>
      </c>
      <c r="U515" s="31"/>
      <c r="V515" s="31"/>
      <c r="W515" s="31"/>
      <c r="X515" s="31"/>
      <c r="Y515" s="31"/>
      <c r="Z515" s="31"/>
      <c r="AA515" s="31"/>
      <c r="AB515" s="31"/>
      <c r="AC515" s="31"/>
      <c r="AD515" s="31"/>
      <c r="AE515" s="31"/>
      <c r="AR515" s="147" t="s">
        <v>200</v>
      </c>
      <c r="AT515" s="147" t="s">
        <v>141</v>
      </c>
      <c r="AU515" s="147" t="s">
        <v>82</v>
      </c>
      <c r="AY515" s="19" t="s">
        <v>138</v>
      </c>
      <c r="BE515" s="148">
        <f>IF(N515="základní",J515,0)</f>
        <v>0</v>
      </c>
      <c r="BF515" s="148">
        <f>IF(N515="snížená",J515,0)</f>
        <v>0</v>
      </c>
      <c r="BG515" s="148">
        <f>IF(N515="zákl. přenesená",J515,0)</f>
        <v>0</v>
      </c>
      <c r="BH515" s="148">
        <f>IF(N515="sníž. přenesená",J515,0)</f>
        <v>0</v>
      </c>
      <c r="BI515" s="148">
        <f>IF(N515="nulová",J515,0)</f>
        <v>0</v>
      </c>
      <c r="BJ515" s="19" t="s">
        <v>80</v>
      </c>
      <c r="BK515" s="148">
        <f>ROUND(I515*H515,2)</f>
        <v>0</v>
      </c>
      <c r="BL515" s="19" t="s">
        <v>200</v>
      </c>
      <c r="BM515" s="147" t="s">
        <v>457</v>
      </c>
    </row>
    <row r="516" spans="1:65" s="2" customFormat="1" ht="58.5">
      <c r="A516" s="31"/>
      <c r="B516" s="32"/>
      <c r="C516" s="31"/>
      <c r="D516" s="150" t="s">
        <v>149</v>
      </c>
      <c r="E516" s="31"/>
      <c r="F516" s="163" t="s">
        <v>454</v>
      </c>
      <c r="G516" s="31"/>
      <c r="H516" s="31"/>
      <c r="I516" s="279"/>
      <c r="J516" s="31"/>
      <c r="K516" s="31"/>
      <c r="L516" s="32"/>
      <c r="M516" s="164"/>
      <c r="N516" s="165"/>
      <c r="O516" s="52"/>
      <c r="P516" s="52"/>
      <c r="Q516" s="52"/>
      <c r="R516" s="52"/>
      <c r="S516" s="52"/>
      <c r="T516" s="53"/>
      <c r="U516" s="31"/>
      <c r="V516" s="31"/>
      <c r="W516" s="31"/>
      <c r="X516" s="31"/>
      <c r="Y516" s="31"/>
      <c r="Z516" s="31"/>
      <c r="AA516" s="31"/>
      <c r="AB516" s="31"/>
      <c r="AC516" s="31"/>
      <c r="AD516" s="31"/>
      <c r="AE516" s="31"/>
      <c r="AT516" s="19" t="s">
        <v>149</v>
      </c>
      <c r="AU516" s="19" t="s">
        <v>82</v>
      </c>
    </row>
    <row r="517" spans="1:65" s="2" customFormat="1" ht="24.2" customHeight="1">
      <c r="A517" s="31"/>
      <c r="B517" s="136"/>
      <c r="C517" s="137">
        <v>88</v>
      </c>
      <c r="D517" s="137" t="s">
        <v>141</v>
      </c>
      <c r="E517" s="138" t="s">
        <v>458</v>
      </c>
      <c r="F517" s="139" t="s">
        <v>459</v>
      </c>
      <c r="G517" s="140" t="s">
        <v>147</v>
      </c>
      <c r="H517" s="141">
        <f>H524</f>
        <v>33</v>
      </c>
      <c r="I517" s="278"/>
      <c r="J517" s="142">
        <f>ROUND(I517*H517,2)</f>
        <v>0</v>
      </c>
      <c r="K517" s="139" t="s">
        <v>148</v>
      </c>
      <c r="L517" s="32"/>
      <c r="M517" s="143" t="s">
        <v>3</v>
      </c>
      <c r="N517" s="144" t="s">
        <v>43</v>
      </c>
      <c r="O517" s="145">
        <v>0.1</v>
      </c>
      <c r="P517" s="145">
        <f>O517*H517</f>
        <v>3.3000000000000003</v>
      </c>
      <c r="Q517" s="145">
        <v>0</v>
      </c>
      <c r="R517" s="145">
        <f>Q517*H517</f>
        <v>0</v>
      </c>
      <c r="S517" s="145">
        <v>0</v>
      </c>
      <c r="T517" s="146">
        <f>S517*H517</f>
        <v>0</v>
      </c>
      <c r="U517" s="31"/>
      <c r="V517" s="31"/>
      <c r="W517" s="31"/>
      <c r="X517" s="31"/>
      <c r="Y517" s="31"/>
      <c r="Z517" s="31"/>
      <c r="AA517" s="31"/>
      <c r="AB517" s="31"/>
      <c r="AC517" s="31"/>
      <c r="AD517" s="31"/>
      <c r="AE517" s="31"/>
      <c r="AR517" s="147" t="s">
        <v>200</v>
      </c>
      <c r="AT517" s="147" t="s">
        <v>141</v>
      </c>
      <c r="AU517" s="147" t="s">
        <v>82</v>
      </c>
      <c r="AY517" s="19" t="s">
        <v>138</v>
      </c>
      <c r="BE517" s="148">
        <f>IF(N517="základní",J517,0)</f>
        <v>0</v>
      </c>
      <c r="BF517" s="148">
        <f>IF(N517="snížená",J517,0)</f>
        <v>0</v>
      </c>
      <c r="BG517" s="148">
        <f>IF(N517="zákl. přenesená",J517,0)</f>
        <v>0</v>
      </c>
      <c r="BH517" s="148">
        <f>IF(N517="sníž. přenesená",J517,0)</f>
        <v>0</v>
      </c>
      <c r="BI517" s="148">
        <f>IF(N517="nulová",J517,0)</f>
        <v>0</v>
      </c>
      <c r="BJ517" s="19" t="s">
        <v>80</v>
      </c>
      <c r="BK517" s="148">
        <f>ROUND(I517*H517,2)</f>
        <v>0</v>
      </c>
      <c r="BL517" s="19" t="s">
        <v>200</v>
      </c>
      <c r="BM517" s="147" t="s">
        <v>460</v>
      </c>
    </row>
    <row r="518" spans="1:65" s="2" customFormat="1" ht="58.5">
      <c r="A518" s="31"/>
      <c r="B518" s="32"/>
      <c r="C518" s="31"/>
      <c r="D518" s="150" t="s">
        <v>149</v>
      </c>
      <c r="E518" s="31"/>
      <c r="F518" s="163" t="s">
        <v>454</v>
      </c>
      <c r="G518" s="31"/>
      <c r="H518" s="31"/>
      <c r="I518" s="279"/>
      <c r="J518" s="31"/>
      <c r="K518" s="31"/>
      <c r="L518" s="32"/>
      <c r="M518" s="164"/>
      <c r="N518" s="165"/>
      <c r="O518" s="52"/>
      <c r="P518" s="52"/>
      <c r="Q518" s="52"/>
      <c r="R518" s="52"/>
      <c r="S518" s="52"/>
      <c r="T518" s="53"/>
      <c r="U518" s="31"/>
      <c r="V518" s="31"/>
      <c r="W518" s="31"/>
      <c r="X518" s="31"/>
      <c r="Y518" s="31"/>
      <c r="Z518" s="31"/>
      <c r="AA518" s="31"/>
      <c r="AB518" s="31"/>
      <c r="AC518" s="31"/>
      <c r="AD518" s="31"/>
      <c r="AE518" s="31"/>
      <c r="AT518" s="19" t="s">
        <v>149</v>
      </c>
      <c r="AU518" s="19" t="s">
        <v>82</v>
      </c>
    </row>
    <row r="519" spans="1:65" s="13" customFormat="1">
      <c r="B519" s="149"/>
      <c r="D519" s="150" t="s">
        <v>145</v>
      </c>
      <c r="E519" s="151" t="s">
        <v>3</v>
      </c>
      <c r="F519" s="152" t="s">
        <v>218</v>
      </c>
      <c r="H519" s="151" t="s">
        <v>3</v>
      </c>
      <c r="I519" s="282"/>
      <c r="L519" s="149"/>
      <c r="M519" s="153"/>
      <c r="N519" s="154"/>
      <c r="O519" s="154"/>
      <c r="P519" s="154"/>
      <c r="Q519" s="154"/>
      <c r="R519" s="154"/>
      <c r="S519" s="154"/>
      <c r="T519" s="155"/>
      <c r="AT519" s="151" t="s">
        <v>145</v>
      </c>
      <c r="AU519" s="151" t="s">
        <v>82</v>
      </c>
      <c r="AV519" s="13" t="s">
        <v>80</v>
      </c>
      <c r="AW519" s="13" t="s">
        <v>34</v>
      </c>
      <c r="AX519" s="13" t="s">
        <v>72</v>
      </c>
      <c r="AY519" s="151" t="s">
        <v>138</v>
      </c>
    </row>
    <row r="520" spans="1:65" s="13" customFormat="1">
      <c r="B520" s="149"/>
      <c r="D520" s="150" t="s">
        <v>145</v>
      </c>
      <c r="E520" s="151" t="s">
        <v>3</v>
      </c>
      <c r="F520" s="152" t="s">
        <v>156</v>
      </c>
      <c r="H520" s="151" t="s">
        <v>3</v>
      </c>
      <c r="I520" s="282"/>
      <c r="L520" s="149"/>
      <c r="M520" s="153"/>
      <c r="N520" s="154"/>
      <c r="O520" s="154"/>
      <c r="P520" s="154"/>
      <c r="Q520" s="154"/>
      <c r="R520" s="154"/>
      <c r="S520" s="154"/>
      <c r="T520" s="155"/>
      <c r="AT520" s="151" t="s">
        <v>145</v>
      </c>
      <c r="AU520" s="151" t="s">
        <v>82</v>
      </c>
      <c r="AV520" s="13" t="s">
        <v>80</v>
      </c>
      <c r="AW520" s="13" t="s">
        <v>34</v>
      </c>
      <c r="AX520" s="13" t="s">
        <v>72</v>
      </c>
      <c r="AY520" s="151" t="s">
        <v>138</v>
      </c>
    </row>
    <row r="521" spans="1:65" s="14" customFormat="1">
      <c r="B521" s="156"/>
      <c r="D521" s="150" t="s">
        <v>145</v>
      </c>
      <c r="E521" s="157" t="s">
        <v>3</v>
      </c>
      <c r="F521" s="158" t="s">
        <v>1536</v>
      </c>
      <c r="H521" s="159">
        <f>2+2+2+2+2+1+2+2+2+1+1</f>
        <v>19</v>
      </c>
      <c r="I521" s="280"/>
      <c r="L521" s="156"/>
      <c r="M521" s="160"/>
      <c r="N521" s="161"/>
      <c r="O521" s="161"/>
      <c r="P521" s="161"/>
      <c r="Q521" s="161"/>
      <c r="R521" s="161"/>
      <c r="S521" s="161"/>
      <c r="T521" s="162"/>
      <c r="AT521" s="157" t="s">
        <v>145</v>
      </c>
      <c r="AU521" s="157" t="s">
        <v>82</v>
      </c>
      <c r="AV521" s="14" t="s">
        <v>82</v>
      </c>
      <c r="AW521" s="14" t="s">
        <v>34</v>
      </c>
      <c r="AX521" s="14" t="s">
        <v>72</v>
      </c>
      <c r="AY521" s="157" t="s">
        <v>138</v>
      </c>
    </row>
    <row r="522" spans="1:65" s="13" customFormat="1">
      <c r="B522" s="149"/>
      <c r="D522" s="150" t="s">
        <v>145</v>
      </c>
      <c r="E522" s="151" t="s">
        <v>3</v>
      </c>
      <c r="F522" s="152" t="s">
        <v>157</v>
      </c>
      <c r="H522" s="151" t="s">
        <v>3</v>
      </c>
      <c r="I522" s="282"/>
      <c r="L522" s="149"/>
      <c r="M522" s="153"/>
      <c r="N522" s="154"/>
      <c r="O522" s="154"/>
      <c r="P522" s="154"/>
      <c r="Q522" s="154"/>
      <c r="R522" s="154"/>
      <c r="S522" s="154"/>
      <c r="T522" s="155"/>
      <c r="AT522" s="151" t="s">
        <v>145</v>
      </c>
      <c r="AU522" s="151" t="s">
        <v>82</v>
      </c>
      <c r="AV522" s="13" t="s">
        <v>80</v>
      </c>
      <c r="AW522" s="13" t="s">
        <v>34</v>
      </c>
      <c r="AX522" s="13" t="s">
        <v>72</v>
      </c>
      <c r="AY522" s="151" t="s">
        <v>138</v>
      </c>
    </row>
    <row r="523" spans="1:65" s="14" customFormat="1">
      <c r="B523" s="156"/>
      <c r="D523" s="150" t="s">
        <v>145</v>
      </c>
      <c r="E523" s="157" t="s">
        <v>3</v>
      </c>
      <c r="F523" s="158" t="s">
        <v>1537</v>
      </c>
      <c r="H523" s="159">
        <f>2+2+1+1+2+1+2+1+2</f>
        <v>14</v>
      </c>
      <c r="I523" s="280"/>
      <c r="L523" s="156"/>
      <c r="M523" s="160"/>
      <c r="N523" s="161"/>
      <c r="O523" s="161"/>
      <c r="P523" s="161"/>
      <c r="Q523" s="161"/>
      <c r="R523" s="161"/>
      <c r="S523" s="161"/>
      <c r="T523" s="162"/>
      <c r="AT523" s="157" t="s">
        <v>145</v>
      </c>
      <c r="AU523" s="157" t="s">
        <v>82</v>
      </c>
      <c r="AV523" s="14" t="s">
        <v>82</v>
      </c>
      <c r="AW523" s="14" t="s">
        <v>34</v>
      </c>
      <c r="AX523" s="14" t="s">
        <v>72</v>
      </c>
      <c r="AY523" s="157" t="s">
        <v>138</v>
      </c>
    </row>
    <row r="524" spans="1:65" s="15" customFormat="1">
      <c r="B524" s="166"/>
      <c r="D524" s="150" t="s">
        <v>145</v>
      </c>
      <c r="E524" s="167" t="s">
        <v>3</v>
      </c>
      <c r="F524" s="168" t="s">
        <v>151</v>
      </c>
      <c r="H524" s="169">
        <f>H521+H523</f>
        <v>33</v>
      </c>
      <c r="I524" s="284"/>
      <c r="L524" s="166"/>
      <c r="M524" s="170"/>
      <c r="N524" s="171"/>
      <c r="O524" s="171"/>
      <c r="P524" s="171"/>
      <c r="Q524" s="171"/>
      <c r="R524" s="171"/>
      <c r="S524" s="171"/>
      <c r="T524" s="172"/>
      <c r="AT524" s="167" t="s">
        <v>145</v>
      </c>
      <c r="AU524" s="167" t="s">
        <v>82</v>
      </c>
      <c r="AV524" s="15" t="s">
        <v>144</v>
      </c>
      <c r="AW524" s="15" t="s">
        <v>34</v>
      </c>
      <c r="AX524" s="15" t="s">
        <v>80</v>
      </c>
      <c r="AY524" s="167" t="s">
        <v>138</v>
      </c>
    </row>
    <row r="525" spans="1:65" s="2" customFormat="1" ht="24.2" customHeight="1">
      <c r="A525" s="31"/>
      <c r="B525" s="136"/>
      <c r="C525" s="137">
        <v>89</v>
      </c>
      <c r="D525" s="137" t="s">
        <v>141</v>
      </c>
      <c r="E525" s="138" t="s">
        <v>461</v>
      </c>
      <c r="F525" s="139" t="s">
        <v>462</v>
      </c>
      <c r="G525" s="140" t="s">
        <v>147</v>
      </c>
      <c r="H525" s="141">
        <f>H532</f>
        <v>12</v>
      </c>
      <c r="I525" s="278"/>
      <c r="J525" s="142">
        <f>ROUND(I525*H525,2)</f>
        <v>0</v>
      </c>
      <c r="K525" s="139" t="s">
        <v>148</v>
      </c>
      <c r="L525" s="32"/>
      <c r="M525" s="143" t="s">
        <v>3</v>
      </c>
      <c r="N525" s="144" t="s">
        <v>43</v>
      </c>
      <c r="O525" s="145">
        <v>0.12</v>
      </c>
      <c r="P525" s="145">
        <f>O525*H525</f>
        <v>1.44</v>
      </c>
      <c r="Q525" s="145">
        <v>0</v>
      </c>
      <c r="R525" s="145">
        <f>Q525*H525</f>
        <v>0</v>
      </c>
      <c r="S525" s="145">
        <v>0</v>
      </c>
      <c r="T525" s="146">
        <f>S525*H525</f>
        <v>0</v>
      </c>
      <c r="U525" s="31"/>
      <c r="V525" s="31"/>
      <c r="W525" s="31"/>
      <c r="X525" s="31"/>
      <c r="Y525" s="31"/>
      <c r="Z525" s="31"/>
      <c r="AA525" s="31"/>
      <c r="AB525" s="31"/>
      <c r="AC525" s="31"/>
      <c r="AD525" s="31"/>
      <c r="AE525" s="31"/>
      <c r="AR525" s="147" t="s">
        <v>200</v>
      </c>
      <c r="AT525" s="147" t="s">
        <v>141</v>
      </c>
      <c r="AU525" s="147" t="s">
        <v>82</v>
      </c>
      <c r="AY525" s="19" t="s">
        <v>138</v>
      </c>
      <c r="BE525" s="148">
        <f>IF(N525="základní",J525,0)</f>
        <v>0</v>
      </c>
      <c r="BF525" s="148">
        <f>IF(N525="snížená",J525,0)</f>
        <v>0</v>
      </c>
      <c r="BG525" s="148">
        <f>IF(N525="zákl. přenesená",J525,0)</f>
        <v>0</v>
      </c>
      <c r="BH525" s="148">
        <f>IF(N525="sníž. přenesená",J525,0)</f>
        <v>0</v>
      </c>
      <c r="BI525" s="148">
        <f>IF(N525="nulová",J525,0)</f>
        <v>0</v>
      </c>
      <c r="BJ525" s="19" t="s">
        <v>80</v>
      </c>
      <c r="BK525" s="148">
        <f>ROUND(I525*H525,2)</f>
        <v>0</v>
      </c>
      <c r="BL525" s="19" t="s">
        <v>200</v>
      </c>
      <c r="BM525" s="147" t="s">
        <v>463</v>
      </c>
    </row>
    <row r="526" spans="1:65" s="2" customFormat="1" ht="58.5">
      <c r="A526" s="31"/>
      <c r="B526" s="32"/>
      <c r="C526" s="31"/>
      <c r="D526" s="150" t="s">
        <v>149</v>
      </c>
      <c r="E526" s="31"/>
      <c r="F526" s="163" t="s">
        <v>454</v>
      </c>
      <c r="G526" s="31"/>
      <c r="H526" s="31"/>
      <c r="I526" s="279"/>
      <c r="J526" s="31"/>
      <c r="K526" s="31"/>
      <c r="L526" s="32"/>
      <c r="M526" s="164"/>
      <c r="N526" s="165"/>
      <c r="O526" s="52"/>
      <c r="P526" s="52"/>
      <c r="Q526" s="52"/>
      <c r="R526" s="52"/>
      <c r="S526" s="52"/>
      <c r="T526" s="53"/>
      <c r="U526" s="31"/>
      <c r="V526" s="31"/>
      <c r="W526" s="31"/>
      <c r="X526" s="31"/>
      <c r="Y526" s="31"/>
      <c r="Z526" s="31"/>
      <c r="AA526" s="31"/>
      <c r="AB526" s="31"/>
      <c r="AC526" s="31"/>
      <c r="AD526" s="31"/>
      <c r="AE526" s="31"/>
      <c r="AT526" s="19" t="s">
        <v>149</v>
      </c>
      <c r="AU526" s="19" t="s">
        <v>82</v>
      </c>
    </row>
    <row r="527" spans="1:65" s="13" customFormat="1">
      <c r="B527" s="149"/>
      <c r="D527" s="150" t="s">
        <v>145</v>
      </c>
      <c r="E527" s="151" t="s">
        <v>3</v>
      </c>
      <c r="F527" s="152" t="s">
        <v>218</v>
      </c>
      <c r="H527" s="151" t="s">
        <v>3</v>
      </c>
      <c r="I527" s="282"/>
      <c r="L527" s="149"/>
      <c r="M527" s="153"/>
      <c r="N527" s="154"/>
      <c r="O527" s="154"/>
      <c r="P527" s="154"/>
      <c r="Q527" s="154"/>
      <c r="R527" s="154"/>
      <c r="S527" s="154"/>
      <c r="T527" s="155"/>
      <c r="AT527" s="151" t="s">
        <v>145</v>
      </c>
      <c r="AU527" s="151" t="s">
        <v>82</v>
      </c>
      <c r="AV527" s="13" t="s">
        <v>80</v>
      </c>
      <c r="AW527" s="13" t="s">
        <v>34</v>
      </c>
      <c r="AX527" s="13" t="s">
        <v>72</v>
      </c>
      <c r="AY527" s="151" t="s">
        <v>138</v>
      </c>
    </row>
    <row r="528" spans="1:65" s="13" customFormat="1">
      <c r="B528" s="149"/>
      <c r="D528" s="150" t="s">
        <v>145</v>
      </c>
      <c r="E528" s="151" t="s">
        <v>3</v>
      </c>
      <c r="F528" s="152" t="s">
        <v>156</v>
      </c>
      <c r="H528" s="151" t="s">
        <v>3</v>
      </c>
      <c r="I528" s="282"/>
      <c r="L528" s="149"/>
      <c r="M528" s="153"/>
      <c r="N528" s="154"/>
      <c r="O528" s="154"/>
      <c r="P528" s="154"/>
      <c r="Q528" s="154"/>
      <c r="R528" s="154"/>
      <c r="S528" s="154"/>
      <c r="T528" s="155"/>
      <c r="AT528" s="151" t="s">
        <v>145</v>
      </c>
      <c r="AU528" s="151" t="s">
        <v>82</v>
      </c>
      <c r="AV528" s="13" t="s">
        <v>80</v>
      </c>
      <c r="AW528" s="13" t="s">
        <v>34</v>
      </c>
      <c r="AX528" s="13" t="s">
        <v>72</v>
      </c>
      <c r="AY528" s="151" t="s">
        <v>138</v>
      </c>
    </row>
    <row r="529" spans="1:65" s="14" customFormat="1">
      <c r="B529" s="156"/>
      <c r="D529" s="150" t="s">
        <v>145</v>
      </c>
      <c r="E529" s="157" t="s">
        <v>3</v>
      </c>
      <c r="F529" s="158" t="s">
        <v>1538</v>
      </c>
      <c r="H529" s="159">
        <f>1+1+1+1+1+1+1</f>
        <v>7</v>
      </c>
      <c r="I529" s="280"/>
      <c r="L529" s="156"/>
      <c r="M529" s="160"/>
      <c r="N529" s="161"/>
      <c r="O529" s="161"/>
      <c r="P529" s="161"/>
      <c r="Q529" s="161"/>
      <c r="R529" s="161"/>
      <c r="S529" s="161"/>
      <c r="T529" s="162"/>
      <c r="AT529" s="157" t="s">
        <v>145</v>
      </c>
      <c r="AU529" s="157" t="s">
        <v>82</v>
      </c>
      <c r="AV529" s="14" t="s">
        <v>82</v>
      </c>
      <c r="AW529" s="14" t="s">
        <v>34</v>
      </c>
      <c r="AX529" s="14" t="s">
        <v>72</v>
      </c>
      <c r="AY529" s="157" t="s">
        <v>138</v>
      </c>
    </row>
    <row r="530" spans="1:65" s="13" customFormat="1">
      <c r="B530" s="149"/>
      <c r="D530" s="150" t="s">
        <v>145</v>
      </c>
      <c r="E530" s="151" t="s">
        <v>3</v>
      </c>
      <c r="F530" s="152" t="s">
        <v>157</v>
      </c>
      <c r="H530" s="151" t="s">
        <v>3</v>
      </c>
      <c r="I530" s="282"/>
      <c r="L530" s="149"/>
      <c r="M530" s="153"/>
      <c r="N530" s="154"/>
      <c r="O530" s="154"/>
      <c r="P530" s="154"/>
      <c r="Q530" s="154"/>
      <c r="R530" s="154"/>
      <c r="S530" s="154"/>
      <c r="T530" s="155"/>
      <c r="AT530" s="151" t="s">
        <v>145</v>
      </c>
      <c r="AU530" s="151" t="s">
        <v>82</v>
      </c>
      <c r="AV530" s="13" t="s">
        <v>80</v>
      </c>
      <c r="AW530" s="13" t="s">
        <v>34</v>
      </c>
      <c r="AX530" s="13" t="s">
        <v>72</v>
      </c>
      <c r="AY530" s="151" t="s">
        <v>138</v>
      </c>
    </row>
    <row r="531" spans="1:65" s="14" customFormat="1">
      <c r="B531" s="156"/>
      <c r="D531" s="150" t="s">
        <v>145</v>
      </c>
      <c r="E531" s="157" t="s">
        <v>3</v>
      </c>
      <c r="F531" s="158" t="s">
        <v>1541</v>
      </c>
      <c r="H531" s="159">
        <f>1+1+1+1+1</f>
        <v>5</v>
      </c>
      <c r="I531" s="280"/>
      <c r="L531" s="156"/>
      <c r="M531" s="160"/>
      <c r="N531" s="161"/>
      <c r="O531" s="161"/>
      <c r="P531" s="161"/>
      <c r="Q531" s="161"/>
      <c r="R531" s="161"/>
      <c r="S531" s="161"/>
      <c r="T531" s="162"/>
      <c r="AT531" s="157" t="s">
        <v>145</v>
      </c>
      <c r="AU531" s="157" t="s">
        <v>82</v>
      </c>
      <c r="AV531" s="14" t="s">
        <v>82</v>
      </c>
      <c r="AW531" s="14" t="s">
        <v>34</v>
      </c>
      <c r="AX531" s="14" t="s">
        <v>72</v>
      </c>
      <c r="AY531" s="157" t="s">
        <v>138</v>
      </c>
    </row>
    <row r="532" spans="1:65" s="15" customFormat="1">
      <c r="B532" s="166"/>
      <c r="D532" s="150" t="s">
        <v>145</v>
      </c>
      <c r="E532" s="167" t="s">
        <v>3</v>
      </c>
      <c r="F532" s="168" t="s">
        <v>151</v>
      </c>
      <c r="H532" s="169">
        <f>H529+H531</f>
        <v>12</v>
      </c>
      <c r="I532" s="284"/>
      <c r="L532" s="166"/>
      <c r="M532" s="170"/>
      <c r="N532" s="171"/>
      <c r="O532" s="171"/>
      <c r="P532" s="171"/>
      <c r="Q532" s="171"/>
      <c r="R532" s="171"/>
      <c r="S532" s="171"/>
      <c r="T532" s="172"/>
      <c r="AT532" s="167" t="s">
        <v>145</v>
      </c>
      <c r="AU532" s="167" t="s">
        <v>82</v>
      </c>
      <c r="AV532" s="15" t="s">
        <v>144</v>
      </c>
      <c r="AW532" s="15" t="s">
        <v>34</v>
      </c>
      <c r="AX532" s="15" t="s">
        <v>80</v>
      </c>
      <c r="AY532" s="167" t="s">
        <v>138</v>
      </c>
    </row>
    <row r="533" spans="1:65" s="2" customFormat="1" ht="24.2" customHeight="1">
      <c r="A533" s="31"/>
      <c r="B533" s="136"/>
      <c r="C533" s="137">
        <v>90</v>
      </c>
      <c r="D533" s="137" t="s">
        <v>141</v>
      </c>
      <c r="E533" s="138" t="s">
        <v>464</v>
      </c>
      <c r="F533" s="139" t="s">
        <v>465</v>
      </c>
      <c r="G533" s="140" t="s">
        <v>147</v>
      </c>
      <c r="H533" s="141">
        <f>H540</f>
        <v>7</v>
      </c>
      <c r="I533" s="278"/>
      <c r="J533" s="142">
        <f>ROUND(I533*H533,2)</f>
        <v>0</v>
      </c>
      <c r="K533" s="139" t="s">
        <v>148</v>
      </c>
      <c r="L533" s="32"/>
      <c r="M533" s="143" t="s">
        <v>3</v>
      </c>
      <c r="N533" s="144" t="s">
        <v>43</v>
      </c>
      <c r="O533" s="145">
        <v>0.14000000000000001</v>
      </c>
      <c r="P533" s="145">
        <f>O533*H533</f>
        <v>0.98000000000000009</v>
      </c>
      <c r="Q533" s="145">
        <v>0</v>
      </c>
      <c r="R533" s="145">
        <f>Q533*H533</f>
        <v>0</v>
      </c>
      <c r="S533" s="145">
        <v>0</v>
      </c>
      <c r="T533" s="146">
        <f>S533*H533</f>
        <v>0</v>
      </c>
      <c r="U533" s="31"/>
      <c r="V533" s="31"/>
      <c r="W533" s="31"/>
      <c r="X533" s="31"/>
      <c r="Y533" s="31"/>
      <c r="Z533" s="31"/>
      <c r="AA533" s="31"/>
      <c r="AB533" s="31"/>
      <c r="AC533" s="31"/>
      <c r="AD533" s="31"/>
      <c r="AE533" s="31"/>
      <c r="AR533" s="147" t="s">
        <v>200</v>
      </c>
      <c r="AT533" s="147" t="s">
        <v>141</v>
      </c>
      <c r="AU533" s="147" t="s">
        <v>82</v>
      </c>
      <c r="AY533" s="19" t="s">
        <v>138</v>
      </c>
      <c r="BE533" s="148">
        <f>IF(N533="základní",J533,0)</f>
        <v>0</v>
      </c>
      <c r="BF533" s="148">
        <f>IF(N533="snížená",J533,0)</f>
        <v>0</v>
      </c>
      <c r="BG533" s="148">
        <f>IF(N533="zákl. přenesená",J533,0)</f>
        <v>0</v>
      </c>
      <c r="BH533" s="148">
        <f>IF(N533="sníž. přenesená",J533,0)</f>
        <v>0</v>
      </c>
      <c r="BI533" s="148">
        <f>IF(N533="nulová",J533,0)</f>
        <v>0</v>
      </c>
      <c r="BJ533" s="19" t="s">
        <v>80</v>
      </c>
      <c r="BK533" s="148">
        <f>ROUND(I533*H533,2)</f>
        <v>0</v>
      </c>
      <c r="BL533" s="19" t="s">
        <v>200</v>
      </c>
      <c r="BM533" s="147" t="s">
        <v>466</v>
      </c>
    </row>
    <row r="534" spans="1:65" s="2" customFormat="1" ht="58.5">
      <c r="A534" s="31"/>
      <c r="B534" s="32"/>
      <c r="C534" s="31"/>
      <c r="D534" s="150" t="s">
        <v>149</v>
      </c>
      <c r="E534" s="31"/>
      <c r="F534" s="163" t="s">
        <v>454</v>
      </c>
      <c r="G534" s="31"/>
      <c r="H534" s="31"/>
      <c r="I534" s="279"/>
      <c r="J534" s="31"/>
      <c r="K534" s="31"/>
      <c r="L534" s="32"/>
      <c r="M534" s="164"/>
      <c r="N534" s="165"/>
      <c r="O534" s="52"/>
      <c r="P534" s="52"/>
      <c r="Q534" s="52"/>
      <c r="R534" s="52"/>
      <c r="S534" s="52"/>
      <c r="T534" s="53"/>
      <c r="U534" s="31"/>
      <c r="V534" s="31"/>
      <c r="W534" s="31"/>
      <c r="X534" s="31"/>
      <c r="Y534" s="31"/>
      <c r="Z534" s="31"/>
      <c r="AA534" s="31"/>
      <c r="AB534" s="31"/>
      <c r="AC534" s="31"/>
      <c r="AD534" s="31"/>
      <c r="AE534" s="31"/>
      <c r="AT534" s="19" t="s">
        <v>149</v>
      </c>
      <c r="AU534" s="19" t="s">
        <v>82</v>
      </c>
    </row>
    <row r="535" spans="1:65" s="13" customFormat="1">
      <c r="B535" s="149"/>
      <c r="D535" s="150" t="s">
        <v>145</v>
      </c>
      <c r="E535" s="151" t="s">
        <v>3</v>
      </c>
      <c r="F535" s="152" t="s">
        <v>218</v>
      </c>
      <c r="H535" s="151" t="s">
        <v>3</v>
      </c>
      <c r="I535" s="282"/>
      <c r="L535" s="149"/>
      <c r="M535" s="153"/>
      <c r="N535" s="154"/>
      <c r="O535" s="154"/>
      <c r="P535" s="154"/>
      <c r="Q535" s="154"/>
      <c r="R535" s="154"/>
      <c r="S535" s="154"/>
      <c r="T535" s="155"/>
      <c r="AT535" s="151" t="s">
        <v>145</v>
      </c>
      <c r="AU535" s="151" t="s">
        <v>82</v>
      </c>
      <c r="AV535" s="13" t="s">
        <v>80</v>
      </c>
      <c r="AW535" s="13" t="s">
        <v>34</v>
      </c>
      <c r="AX535" s="13" t="s">
        <v>72</v>
      </c>
      <c r="AY535" s="151" t="s">
        <v>138</v>
      </c>
    </row>
    <row r="536" spans="1:65" s="13" customFormat="1">
      <c r="B536" s="149"/>
      <c r="D536" s="150" t="s">
        <v>145</v>
      </c>
      <c r="E536" s="151" t="s">
        <v>3</v>
      </c>
      <c r="F536" s="152" t="s">
        <v>156</v>
      </c>
      <c r="H536" s="151" t="s">
        <v>3</v>
      </c>
      <c r="I536" s="282"/>
      <c r="L536" s="149"/>
      <c r="M536" s="153"/>
      <c r="N536" s="154"/>
      <c r="O536" s="154"/>
      <c r="P536" s="154"/>
      <c r="Q536" s="154"/>
      <c r="R536" s="154"/>
      <c r="S536" s="154"/>
      <c r="T536" s="155"/>
      <c r="AT536" s="151" t="s">
        <v>145</v>
      </c>
      <c r="AU536" s="151" t="s">
        <v>82</v>
      </c>
      <c r="AV536" s="13" t="s">
        <v>80</v>
      </c>
      <c r="AW536" s="13" t="s">
        <v>34</v>
      </c>
      <c r="AX536" s="13" t="s">
        <v>72</v>
      </c>
      <c r="AY536" s="151" t="s">
        <v>138</v>
      </c>
    </row>
    <row r="537" spans="1:65" s="14" customFormat="1">
      <c r="B537" s="156"/>
      <c r="D537" s="150" t="s">
        <v>145</v>
      </c>
      <c r="E537" s="157" t="s">
        <v>3</v>
      </c>
      <c r="F537" s="158" t="s">
        <v>1539</v>
      </c>
      <c r="H537" s="159">
        <v>4</v>
      </c>
      <c r="I537" s="280"/>
      <c r="L537" s="156"/>
      <c r="M537" s="160"/>
      <c r="N537" s="161"/>
      <c r="O537" s="161"/>
      <c r="P537" s="161"/>
      <c r="Q537" s="161"/>
      <c r="R537" s="161"/>
      <c r="S537" s="161"/>
      <c r="T537" s="162"/>
      <c r="AT537" s="157" t="s">
        <v>145</v>
      </c>
      <c r="AU537" s="157" t="s">
        <v>82</v>
      </c>
      <c r="AV537" s="14" t="s">
        <v>82</v>
      </c>
      <c r="AW537" s="14" t="s">
        <v>34</v>
      </c>
      <c r="AX537" s="14" t="s">
        <v>72</v>
      </c>
      <c r="AY537" s="157" t="s">
        <v>138</v>
      </c>
    </row>
    <row r="538" spans="1:65" s="13" customFormat="1">
      <c r="B538" s="149"/>
      <c r="D538" s="150" t="s">
        <v>145</v>
      </c>
      <c r="E538" s="151" t="s">
        <v>3</v>
      </c>
      <c r="F538" s="152" t="s">
        <v>157</v>
      </c>
      <c r="H538" s="151" t="s">
        <v>3</v>
      </c>
      <c r="I538" s="282"/>
      <c r="L538" s="149"/>
      <c r="M538" s="153"/>
      <c r="N538" s="154"/>
      <c r="O538" s="154"/>
      <c r="P538" s="154"/>
      <c r="Q538" s="154"/>
      <c r="R538" s="154"/>
      <c r="S538" s="154"/>
      <c r="T538" s="155"/>
      <c r="AT538" s="151" t="s">
        <v>145</v>
      </c>
      <c r="AU538" s="151" t="s">
        <v>82</v>
      </c>
      <c r="AV538" s="13" t="s">
        <v>80</v>
      </c>
      <c r="AW538" s="13" t="s">
        <v>34</v>
      </c>
      <c r="AX538" s="13" t="s">
        <v>72</v>
      </c>
      <c r="AY538" s="151" t="s">
        <v>138</v>
      </c>
    </row>
    <row r="539" spans="1:65" s="14" customFormat="1">
      <c r="B539" s="156"/>
      <c r="D539" s="150" t="s">
        <v>145</v>
      </c>
      <c r="E539" s="157" t="s">
        <v>3</v>
      </c>
      <c r="F539" s="158" t="s">
        <v>1540</v>
      </c>
      <c r="H539" s="159">
        <v>3</v>
      </c>
      <c r="I539" s="280"/>
      <c r="L539" s="156"/>
      <c r="M539" s="160"/>
      <c r="N539" s="161"/>
      <c r="O539" s="161"/>
      <c r="P539" s="161"/>
      <c r="Q539" s="161"/>
      <c r="R539" s="161"/>
      <c r="S539" s="161"/>
      <c r="T539" s="162"/>
      <c r="AT539" s="157" t="s">
        <v>145</v>
      </c>
      <c r="AU539" s="157" t="s">
        <v>82</v>
      </c>
      <c r="AV539" s="14" t="s">
        <v>82</v>
      </c>
      <c r="AW539" s="14" t="s">
        <v>34</v>
      </c>
      <c r="AX539" s="14" t="s">
        <v>72</v>
      </c>
      <c r="AY539" s="157" t="s">
        <v>138</v>
      </c>
    </row>
    <row r="540" spans="1:65" s="15" customFormat="1">
      <c r="B540" s="166"/>
      <c r="D540" s="150" t="s">
        <v>145</v>
      </c>
      <c r="E540" s="167" t="s">
        <v>3</v>
      </c>
      <c r="F540" s="168" t="s">
        <v>151</v>
      </c>
      <c r="H540" s="169">
        <f>H537+H539</f>
        <v>7</v>
      </c>
      <c r="I540" s="284"/>
      <c r="L540" s="166"/>
      <c r="M540" s="170"/>
      <c r="N540" s="171"/>
      <c r="O540" s="171"/>
      <c r="P540" s="171"/>
      <c r="Q540" s="171"/>
      <c r="R540" s="171"/>
      <c r="S540" s="171"/>
      <c r="T540" s="172"/>
      <c r="AT540" s="167" t="s">
        <v>145</v>
      </c>
      <c r="AU540" s="167" t="s">
        <v>82</v>
      </c>
      <c r="AV540" s="15" t="s">
        <v>144</v>
      </c>
      <c r="AW540" s="15" t="s">
        <v>34</v>
      </c>
      <c r="AX540" s="15" t="s">
        <v>80</v>
      </c>
      <c r="AY540" s="167" t="s">
        <v>138</v>
      </c>
    </row>
    <row r="541" spans="1:65" s="2" customFormat="1" ht="37.9" customHeight="1">
      <c r="A541" s="31"/>
      <c r="B541" s="136"/>
      <c r="C541" s="137">
        <v>91</v>
      </c>
      <c r="D541" s="137" t="s">
        <v>141</v>
      </c>
      <c r="E541" s="138" t="s">
        <v>467</v>
      </c>
      <c r="F541" s="139" t="s">
        <v>468</v>
      </c>
      <c r="G541" s="140" t="s">
        <v>308</v>
      </c>
      <c r="H541" s="141">
        <f>SUM(J461:J539)/100</f>
        <v>0</v>
      </c>
      <c r="I541" s="278"/>
      <c r="J541" s="142">
        <f>ROUND(I541*H541,2)</f>
        <v>0</v>
      </c>
      <c r="K541" s="139" t="s">
        <v>148</v>
      </c>
      <c r="L541" s="32"/>
      <c r="M541" s="143" t="s">
        <v>3</v>
      </c>
      <c r="N541" s="144" t="s">
        <v>43</v>
      </c>
      <c r="O541" s="145">
        <v>0</v>
      </c>
      <c r="P541" s="145">
        <f>O541*H541</f>
        <v>0</v>
      </c>
      <c r="Q541" s="145">
        <v>0</v>
      </c>
      <c r="R541" s="145">
        <f>Q541*H541</f>
        <v>0</v>
      </c>
      <c r="S541" s="145">
        <v>0</v>
      </c>
      <c r="T541" s="146">
        <f>S541*H541</f>
        <v>0</v>
      </c>
      <c r="U541" s="31"/>
      <c r="V541" s="31"/>
      <c r="W541" s="31"/>
      <c r="X541" s="31"/>
      <c r="Y541" s="31"/>
      <c r="Z541" s="31"/>
      <c r="AA541" s="31"/>
      <c r="AB541" s="31"/>
      <c r="AC541" s="31"/>
      <c r="AD541" s="31"/>
      <c r="AE541" s="31"/>
      <c r="AR541" s="147" t="s">
        <v>200</v>
      </c>
      <c r="AT541" s="147" t="s">
        <v>141</v>
      </c>
      <c r="AU541" s="147" t="s">
        <v>82</v>
      </c>
      <c r="AY541" s="19" t="s">
        <v>138</v>
      </c>
      <c r="BE541" s="148">
        <f>IF(N541="základní",J541,0)</f>
        <v>0</v>
      </c>
      <c r="BF541" s="148">
        <f>IF(N541="snížená",J541,0)</f>
        <v>0</v>
      </c>
      <c r="BG541" s="148">
        <f>IF(N541="zákl. přenesená",J541,0)</f>
        <v>0</v>
      </c>
      <c r="BH541" s="148">
        <f>IF(N541="sníž. přenesená",J541,0)</f>
        <v>0</v>
      </c>
      <c r="BI541" s="148">
        <f>IF(N541="nulová",J541,0)</f>
        <v>0</v>
      </c>
      <c r="BJ541" s="19" t="s">
        <v>80</v>
      </c>
      <c r="BK541" s="148">
        <f>ROUND(I541*H541,2)</f>
        <v>0</v>
      </c>
      <c r="BL541" s="19" t="s">
        <v>200</v>
      </c>
      <c r="BM541" s="147" t="s">
        <v>469</v>
      </c>
    </row>
    <row r="542" spans="1:65" s="2" customFormat="1" ht="126.75">
      <c r="A542" s="31"/>
      <c r="B542" s="32"/>
      <c r="C542" s="31"/>
      <c r="D542" s="150" t="s">
        <v>149</v>
      </c>
      <c r="E542" s="31"/>
      <c r="F542" s="163" t="s">
        <v>392</v>
      </c>
      <c r="G542" s="31"/>
      <c r="H542" s="31"/>
      <c r="I542" s="279"/>
      <c r="J542" s="31"/>
      <c r="K542" s="31"/>
      <c r="L542" s="32"/>
      <c r="M542" s="164"/>
      <c r="N542" s="165"/>
      <c r="O542" s="52"/>
      <c r="P542" s="52"/>
      <c r="Q542" s="52"/>
      <c r="R542" s="52"/>
      <c r="S542" s="52"/>
      <c r="T542" s="53"/>
      <c r="U542" s="31"/>
      <c r="V542" s="31"/>
      <c r="W542" s="31"/>
      <c r="X542" s="31"/>
      <c r="Y542" s="31"/>
      <c r="Z542" s="31"/>
      <c r="AA542" s="31"/>
      <c r="AB542" s="31"/>
      <c r="AC542" s="31"/>
      <c r="AD542" s="31"/>
      <c r="AE542" s="31"/>
      <c r="AT542" s="19" t="s">
        <v>149</v>
      </c>
      <c r="AU542" s="19" t="s">
        <v>82</v>
      </c>
    </row>
    <row r="543" spans="1:65" s="2" customFormat="1" ht="49.15" customHeight="1">
      <c r="A543" s="31"/>
      <c r="B543" s="136"/>
      <c r="C543" s="137">
        <v>92</v>
      </c>
      <c r="D543" s="137" t="s">
        <v>141</v>
      </c>
      <c r="E543" s="138" t="s">
        <v>470</v>
      </c>
      <c r="F543" s="139" t="s">
        <v>471</v>
      </c>
      <c r="G543" s="140" t="s">
        <v>308</v>
      </c>
      <c r="H543" s="141">
        <f>H541</f>
        <v>0</v>
      </c>
      <c r="I543" s="278"/>
      <c r="J543" s="142">
        <f>ROUND(I543*H543,2)</f>
        <v>0</v>
      </c>
      <c r="K543" s="139" t="s">
        <v>148</v>
      </c>
      <c r="L543" s="32"/>
      <c r="M543" s="143" t="s">
        <v>3</v>
      </c>
      <c r="N543" s="144" t="s">
        <v>43</v>
      </c>
      <c r="O543" s="145">
        <v>0</v>
      </c>
      <c r="P543" s="145">
        <f>O543*H543</f>
        <v>0</v>
      </c>
      <c r="Q543" s="145">
        <v>0</v>
      </c>
      <c r="R543" s="145">
        <f>Q543*H543</f>
        <v>0</v>
      </c>
      <c r="S543" s="145">
        <v>0</v>
      </c>
      <c r="T543" s="146">
        <f>S543*H543</f>
        <v>0</v>
      </c>
      <c r="U543" s="31"/>
      <c r="V543" s="31"/>
      <c r="W543" s="31"/>
      <c r="X543" s="31"/>
      <c r="Y543" s="31"/>
      <c r="Z543" s="31"/>
      <c r="AA543" s="31"/>
      <c r="AB543" s="31"/>
      <c r="AC543" s="31"/>
      <c r="AD543" s="31"/>
      <c r="AE543" s="31"/>
      <c r="AR543" s="147" t="s">
        <v>200</v>
      </c>
      <c r="AT543" s="147" t="s">
        <v>141</v>
      </c>
      <c r="AU543" s="147" t="s">
        <v>82</v>
      </c>
      <c r="AY543" s="19" t="s">
        <v>138</v>
      </c>
      <c r="BE543" s="148">
        <f>IF(N543="základní",J543,0)</f>
        <v>0</v>
      </c>
      <c r="BF543" s="148">
        <f>IF(N543="snížená",J543,0)</f>
        <v>0</v>
      </c>
      <c r="BG543" s="148">
        <f>IF(N543="zákl. přenesená",J543,0)</f>
        <v>0</v>
      </c>
      <c r="BH543" s="148">
        <f>IF(N543="sníž. přenesená",J543,0)</f>
        <v>0</v>
      </c>
      <c r="BI543" s="148">
        <f>IF(N543="nulová",J543,0)</f>
        <v>0</v>
      </c>
      <c r="BJ543" s="19" t="s">
        <v>80</v>
      </c>
      <c r="BK543" s="148">
        <f>ROUND(I543*H543,2)</f>
        <v>0</v>
      </c>
      <c r="BL543" s="19" t="s">
        <v>200</v>
      </c>
      <c r="BM543" s="147" t="s">
        <v>472</v>
      </c>
    </row>
    <row r="544" spans="1:65" s="2" customFormat="1" ht="126.75">
      <c r="A544" s="31"/>
      <c r="B544" s="32"/>
      <c r="C544" s="31"/>
      <c r="D544" s="150" t="s">
        <v>149</v>
      </c>
      <c r="E544" s="31"/>
      <c r="F544" s="163" t="s">
        <v>392</v>
      </c>
      <c r="G544" s="31"/>
      <c r="H544" s="31"/>
      <c r="I544" s="279"/>
      <c r="J544" s="31"/>
      <c r="K544" s="31"/>
      <c r="L544" s="32"/>
      <c r="M544" s="164"/>
      <c r="N544" s="165"/>
      <c r="O544" s="52"/>
      <c r="P544" s="52"/>
      <c r="Q544" s="52"/>
      <c r="R544" s="52"/>
      <c r="S544" s="52"/>
      <c r="T544" s="53"/>
      <c r="U544" s="31"/>
      <c r="V544" s="31"/>
      <c r="W544" s="31"/>
      <c r="X544" s="31"/>
      <c r="Y544" s="31"/>
      <c r="Z544" s="31"/>
      <c r="AA544" s="31"/>
      <c r="AB544" s="31"/>
      <c r="AC544" s="31"/>
      <c r="AD544" s="31"/>
      <c r="AE544" s="31"/>
      <c r="AT544" s="19" t="s">
        <v>149</v>
      </c>
      <c r="AU544" s="19" t="s">
        <v>82</v>
      </c>
    </row>
    <row r="545" spans="1:65" s="12" customFormat="1" ht="22.9" customHeight="1">
      <c r="B545" s="124"/>
      <c r="D545" s="125" t="s">
        <v>71</v>
      </c>
      <c r="E545" s="134" t="s">
        <v>473</v>
      </c>
      <c r="F545" s="134" t="s">
        <v>474</v>
      </c>
      <c r="I545" s="285"/>
      <c r="J545" s="135">
        <f>BK545</f>
        <v>0</v>
      </c>
      <c r="L545" s="124"/>
      <c r="M545" s="128"/>
      <c r="N545" s="129"/>
      <c r="O545" s="129"/>
      <c r="P545" s="130">
        <f>SUM(P546:P565)</f>
        <v>1.1089023999999998</v>
      </c>
      <c r="Q545" s="129"/>
      <c r="R545" s="130">
        <f>SUM(R546:R565)</f>
        <v>8.4520000000000005E-4</v>
      </c>
      <c r="S545" s="129"/>
      <c r="T545" s="131">
        <f>SUM(T546:T565)</f>
        <v>0</v>
      </c>
      <c r="AR545" s="125" t="s">
        <v>82</v>
      </c>
      <c r="AT545" s="132" t="s">
        <v>71</v>
      </c>
      <c r="AU545" s="132" t="s">
        <v>80</v>
      </c>
      <c r="AY545" s="125" t="s">
        <v>138</v>
      </c>
      <c r="BK545" s="133">
        <f>SUM(BK546:BK565)</f>
        <v>0</v>
      </c>
    </row>
    <row r="546" spans="1:65" s="2" customFormat="1" ht="24.2" customHeight="1">
      <c r="A546" s="31"/>
      <c r="B546" s="136"/>
      <c r="C546" s="137">
        <v>93</v>
      </c>
      <c r="D546" s="137" t="s">
        <v>141</v>
      </c>
      <c r="E546" s="138" t="s">
        <v>475</v>
      </c>
      <c r="F546" s="139" t="s">
        <v>476</v>
      </c>
      <c r="G546" s="140" t="s">
        <v>173</v>
      </c>
      <c r="H546" s="141">
        <f>H551</f>
        <v>3.3807999999999998</v>
      </c>
      <c r="I546" s="278"/>
      <c r="J546" s="142">
        <f>ROUND(I546*H546,2)</f>
        <v>0</v>
      </c>
      <c r="K546" s="139" t="s">
        <v>148</v>
      </c>
      <c r="L546" s="32"/>
      <c r="M546" s="143" t="s">
        <v>3</v>
      </c>
      <c r="N546" s="144" t="s">
        <v>43</v>
      </c>
      <c r="O546" s="145">
        <v>1.0999999999999999E-2</v>
      </c>
      <c r="P546" s="145">
        <f>O546*H546</f>
        <v>3.7188799999999994E-2</v>
      </c>
      <c r="Q546" s="145">
        <v>0</v>
      </c>
      <c r="R546" s="145">
        <f>Q546*H546</f>
        <v>0</v>
      </c>
      <c r="S546" s="145">
        <v>0</v>
      </c>
      <c r="T546" s="146">
        <f>S546*H546</f>
        <v>0</v>
      </c>
      <c r="U546" s="31"/>
      <c r="V546" s="31"/>
      <c r="W546" s="31"/>
      <c r="X546" s="31"/>
      <c r="Y546" s="31"/>
      <c r="Z546" s="31"/>
      <c r="AA546" s="31"/>
      <c r="AB546" s="31"/>
      <c r="AC546" s="31"/>
      <c r="AD546" s="31"/>
      <c r="AE546" s="31"/>
      <c r="AR546" s="147" t="s">
        <v>200</v>
      </c>
      <c r="AT546" s="147" t="s">
        <v>141</v>
      </c>
      <c r="AU546" s="147" t="s">
        <v>82</v>
      </c>
      <c r="AY546" s="19" t="s">
        <v>138</v>
      </c>
      <c r="BE546" s="148">
        <f>IF(N546="základní",J546,0)</f>
        <v>0</v>
      </c>
      <c r="BF546" s="148">
        <f>IF(N546="snížená",J546,0)</f>
        <v>0</v>
      </c>
      <c r="BG546" s="148">
        <f>IF(N546="zákl. přenesená",J546,0)</f>
        <v>0</v>
      </c>
      <c r="BH546" s="148">
        <f>IF(N546="sníž. přenesená",J546,0)</f>
        <v>0</v>
      </c>
      <c r="BI546" s="148">
        <f>IF(N546="nulová",J546,0)</f>
        <v>0</v>
      </c>
      <c r="BJ546" s="19" t="s">
        <v>80</v>
      </c>
      <c r="BK546" s="148">
        <f>ROUND(I546*H546,2)</f>
        <v>0</v>
      </c>
      <c r="BL546" s="19" t="s">
        <v>200</v>
      </c>
      <c r="BM546" s="147" t="s">
        <v>477</v>
      </c>
    </row>
    <row r="547" spans="1:65" s="13" customFormat="1">
      <c r="B547" s="149"/>
      <c r="D547" s="150" t="s">
        <v>145</v>
      </c>
      <c r="E547" s="151" t="s">
        <v>3</v>
      </c>
      <c r="F547" s="152" t="s">
        <v>198</v>
      </c>
      <c r="H547" s="151" t="s">
        <v>3</v>
      </c>
      <c r="I547" s="282"/>
      <c r="L547" s="149"/>
      <c r="M547" s="153"/>
      <c r="N547" s="154"/>
      <c r="O547" s="154"/>
      <c r="P547" s="154"/>
      <c r="Q547" s="154"/>
      <c r="R547" s="154"/>
      <c r="S547" s="154"/>
      <c r="T547" s="155"/>
      <c r="AT547" s="151" t="s">
        <v>145</v>
      </c>
      <c r="AU547" s="151" t="s">
        <v>82</v>
      </c>
      <c r="AV547" s="13" t="s">
        <v>80</v>
      </c>
      <c r="AW547" s="13" t="s">
        <v>34</v>
      </c>
      <c r="AX547" s="13" t="s">
        <v>72</v>
      </c>
      <c r="AY547" s="151" t="s">
        <v>138</v>
      </c>
    </row>
    <row r="548" spans="1:65" s="14" customFormat="1">
      <c r="B548" s="156"/>
      <c r="D548" s="150" t="s">
        <v>145</v>
      </c>
      <c r="E548" s="157" t="s">
        <v>3</v>
      </c>
      <c r="F548" s="158" t="s">
        <v>1542</v>
      </c>
      <c r="H548" s="159">
        <v>0.88800000000000001</v>
      </c>
      <c r="L548" s="156"/>
      <c r="M548" s="160"/>
      <c r="N548" s="307"/>
      <c r="O548" s="307"/>
      <c r="P548" s="307"/>
      <c r="Q548" s="307"/>
      <c r="R548" s="307"/>
      <c r="S548" s="307"/>
      <c r="T548" s="162"/>
      <c r="AT548" s="157" t="s">
        <v>145</v>
      </c>
      <c r="AU548" s="157" t="s">
        <v>82</v>
      </c>
      <c r="AV548" s="14" t="s">
        <v>82</v>
      </c>
      <c r="AW548" s="14" t="s">
        <v>34</v>
      </c>
      <c r="AX548" s="14" t="s">
        <v>72</v>
      </c>
      <c r="AY548" s="157" t="s">
        <v>138</v>
      </c>
    </row>
    <row r="549" spans="1:65" s="14" customFormat="1">
      <c r="B549" s="156"/>
      <c r="D549" s="150" t="s">
        <v>145</v>
      </c>
      <c r="E549" s="157" t="s">
        <v>3</v>
      </c>
      <c r="F549" s="158" t="s">
        <v>1543</v>
      </c>
      <c r="H549" s="159">
        <f>1*(2*2.1)*0.304</f>
        <v>1.2767999999999999</v>
      </c>
      <c r="L549" s="156"/>
      <c r="M549" s="160"/>
      <c r="N549" s="307"/>
      <c r="O549" s="307"/>
      <c r="P549" s="307"/>
      <c r="Q549" s="307"/>
      <c r="R549" s="307"/>
      <c r="S549" s="307"/>
      <c r="T549" s="162"/>
      <c r="AT549" s="157" t="s">
        <v>145</v>
      </c>
      <c r="AU549" s="157" t="s">
        <v>82</v>
      </c>
      <c r="AV549" s="14" t="s">
        <v>82</v>
      </c>
      <c r="AW549" s="14" t="s">
        <v>34</v>
      </c>
      <c r="AX549" s="14" t="s">
        <v>72</v>
      </c>
      <c r="AY549" s="157" t="s">
        <v>138</v>
      </c>
    </row>
    <row r="550" spans="1:65" s="14" customFormat="1">
      <c r="B550" s="156"/>
      <c r="D550" s="150" t="s">
        <v>145</v>
      </c>
      <c r="E550" s="157" t="s">
        <v>3</v>
      </c>
      <c r="F550" s="158" t="s">
        <v>1544</v>
      </c>
      <c r="H550" s="159">
        <f>2*(2*1)*0.304</f>
        <v>1.216</v>
      </c>
      <c r="L550" s="156"/>
      <c r="M550" s="160"/>
      <c r="N550" s="307"/>
      <c r="O550" s="307"/>
      <c r="P550" s="307"/>
      <c r="Q550" s="307"/>
      <c r="R550" s="307"/>
      <c r="S550" s="307"/>
      <c r="T550" s="162"/>
      <c r="AT550" s="157" t="s">
        <v>145</v>
      </c>
      <c r="AU550" s="157" t="s">
        <v>82</v>
      </c>
      <c r="AV550" s="14" t="s">
        <v>82</v>
      </c>
      <c r="AW550" s="14" t="s">
        <v>34</v>
      </c>
      <c r="AX550" s="14" t="s">
        <v>72</v>
      </c>
      <c r="AY550" s="157" t="s">
        <v>138</v>
      </c>
    </row>
    <row r="551" spans="1:65" s="15" customFormat="1">
      <c r="B551" s="166"/>
      <c r="D551" s="150" t="s">
        <v>145</v>
      </c>
      <c r="E551" s="167" t="s">
        <v>3</v>
      </c>
      <c r="F551" s="168" t="s">
        <v>151</v>
      </c>
      <c r="H551" s="169">
        <f>H548+H549+H550</f>
        <v>3.3807999999999998</v>
      </c>
      <c r="I551" s="284"/>
      <c r="L551" s="166"/>
      <c r="M551" s="170"/>
      <c r="N551" s="171"/>
      <c r="O551" s="171"/>
      <c r="P551" s="171"/>
      <c r="Q551" s="171"/>
      <c r="R551" s="171"/>
      <c r="S551" s="171"/>
      <c r="T551" s="172"/>
      <c r="AT551" s="167" t="s">
        <v>145</v>
      </c>
      <c r="AU551" s="167" t="s">
        <v>82</v>
      </c>
      <c r="AV551" s="15" t="s">
        <v>144</v>
      </c>
      <c r="AW551" s="15" t="s">
        <v>34</v>
      </c>
      <c r="AX551" s="15" t="s">
        <v>80</v>
      </c>
      <c r="AY551" s="167" t="s">
        <v>138</v>
      </c>
    </row>
    <row r="552" spans="1:65" s="2" customFormat="1" ht="37.9" customHeight="1">
      <c r="A552" s="31"/>
      <c r="B552" s="136"/>
      <c r="C552" s="137">
        <v>94</v>
      </c>
      <c r="D552" s="137" t="s">
        <v>141</v>
      </c>
      <c r="E552" s="138" t="s">
        <v>478</v>
      </c>
      <c r="F552" s="139" t="s">
        <v>479</v>
      </c>
      <c r="G552" s="140" t="s">
        <v>173</v>
      </c>
      <c r="H552" s="141">
        <f>H546</f>
        <v>3.3807999999999998</v>
      </c>
      <c r="I552" s="278"/>
      <c r="J552" s="142">
        <f>ROUND(I552*H552,2)</f>
        <v>0</v>
      </c>
      <c r="K552" s="139" t="s">
        <v>148</v>
      </c>
      <c r="L552" s="32"/>
      <c r="M552" s="143" t="s">
        <v>3</v>
      </c>
      <c r="N552" s="144" t="s">
        <v>43</v>
      </c>
      <c r="O552" s="145">
        <v>0.13300000000000001</v>
      </c>
      <c r="P552" s="145">
        <f>O552*H552</f>
        <v>0.4496464</v>
      </c>
      <c r="Q552" s="145">
        <v>8.0000000000000007E-5</v>
      </c>
      <c r="R552" s="145">
        <f>Q552*H552</f>
        <v>2.7046399999999999E-4</v>
      </c>
      <c r="S552" s="145">
        <v>0</v>
      </c>
      <c r="T552" s="146">
        <f>S552*H552</f>
        <v>0</v>
      </c>
      <c r="U552" s="31"/>
      <c r="V552" s="31"/>
      <c r="W552" s="31"/>
      <c r="X552" s="31"/>
      <c r="Y552" s="31"/>
      <c r="Z552" s="31"/>
      <c r="AA552" s="31"/>
      <c r="AB552" s="31"/>
      <c r="AC552" s="31"/>
      <c r="AD552" s="31"/>
      <c r="AE552" s="31"/>
      <c r="AR552" s="147" t="s">
        <v>200</v>
      </c>
      <c r="AT552" s="147" t="s">
        <v>141</v>
      </c>
      <c r="AU552" s="147" t="s">
        <v>82</v>
      </c>
      <c r="AY552" s="19" t="s">
        <v>138</v>
      </c>
      <c r="BE552" s="148">
        <f>IF(N552="základní",J552,0)</f>
        <v>0</v>
      </c>
      <c r="BF552" s="148">
        <f>IF(N552="snížená",J552,0)</f>
        <v>0</v>
      </c>
      <c r="BG552" s="148">
        <f>IF(N552="zákl. přenesená",J552,0)</f>
        <v>0</v>
      </c>
      <c r="BH552" s="148">
        <f>IF(N552="sníž. přenesená",J552,0)</f>
        <v>0</v>
      </c>
      <c r="BI552" s="148">
        <f>IF(N552="nulová",J552,0)</f>
        <v>0</v>
      </c>
      <c r="BJ552" s="19" t="s">
        <v>80</v>
      </c>
      <c r="BK552" s="148">
        <f>ROUND(I552*H552,2)</f>
        <v>0</v>
      </c>
      <c r="BL552" s="19" t="s">
        <v>200</v>
      </c>
      <c r="BM552" s="147" t="s">
        <v>480</v>
      </c>
    </row>
    <row r="553" spans="1:65" s="2" customFormat="1" ht="24.2" customHeight="1">
      <c r="A553" s="31"/>
      <c r="B553" s="136"/>
      <c r="C553" s="137">
        <v>95</v>
      </c>
      <c r="D553" s="137" t="s">
        <v>141</v>
      </c>
      <c r="E553" s="138" t="s">
        <v>481</v>
      </c>
      <c r="F553" s="139" t="s">
        <v>482</v>
      </c>
      <c r="G553" s="140" t="s">
        <v>173</v>
      </c>
      <c r="H553" s="141">
        <f>H546</f>
        <v>3.3807999999999998</v>
      </c>
      <c r="I553" s="278"/>
      <c r="J553" s="142">
        <f>ROUND(I553*H553,2)</f>
        <v>0</v>
      </c>
      <c r="K553" s="139" t="s">
        <v>148</v>
      </c>
      <c r="L553" s="32"/>
      <c r="M553" s="143" t="s">
        <v>3</v>
      </c>
      <c r="N553" s="144" t="s">
        <v>43</v>
      </c>
      <c r="O553" s="145">
        <v>0.184</v>
      </c>
      <c r="P553" s="145">
        <f>O553*H553</f>
        <v>0.62206719999999993</v>
      </c>
      <c r="Q553" s="145">
        <v>1.7000000000000001E-4</v>
      </c>
      <c r="R553" s="145">
        <f>Q553*H553</f>
        <v>5.7473600000000006E-4</v>
      </c>
      <c r="S553" s="145">
        <v>0</v>
      </c>
      <c r="T553" s="146">
        <f>S553*H553</f>
        <v>0</v>
      </c>
      <c r="U553" s="31"/>
      <c r="V553" s="31"/>
      <c r="W553" s="31"/>
      <c r="X553" s="31"/>
      <c r="Y553" s="31"/>
      <c r="Z553" s="31"/>
      <c r="AA553" s="31"/>
      <c r="AB553" s="31"/>
      <c r="AC553" s="31"/>
      <c r="AD553" s="31"/>
      <c r="AE553" s="31"/>
      <c r="AR553" s="147" t="s">
        <v>200</v>
      </c>
      <c r="AT553" s="147" t="s">
        <v>141</v>
      </c>
      <c r="AU553" s="147" t="s">
        <v>82</v>
      </c>
      <c r="AY553" s="19" t="s">
        <v>138</v>
      </c>
      <c r="BE553" s="148">
        <f>IF(N553="základní",J553,0)</f>
        <v>0</v>
      </c>
      <c r="BF553" s="148">
        <f>IF(N553="snížená",J553,0)</f>
        <v>0</v>
      </c>
      <c r="BG553" s="148">
        <f>IF(N553="zákl. přenesená",J553,0)</f>
        <v>0</v>
      </c>
      <c r="BH553" s="148">
        <f>IF(N553="sníž. přenesená",J553,0)</f>
        <v>0</v>
      </c>
      <c r="BI553" s="148">
        <f>IF(N553="nulová",J553,0)</f>
        <v>0</v>
      </c>
      <c r="BJ553" s="19" t="s">
        <v>80</v>
      </c>
      <c r="BK553" s="148">
        <f>ROUND(I553*H553,2)</f>
        <v>0</v>
      </c>
      <c r="BL553" s="19" t="s">
        <v>200</v>
      </c>
      <c r="BM553" s="147" t="s">
        <v>483</v>
      </c>
    </row>
    <row r="554" spans="1:65" s="2" customFormat="1" ht="14.45" customHeight="1">
      <c r="A554" s="31"/>
      <c r="B554" s="136"/>
      <c r="C554" s="137">
        <v>96</v>
      </c>
      <c r="D554" s="137" t="s">
        <v>141</v>
      </c>
      <c r="E554" s="138" t="s">
        <v>484</v>
      </c>
      <c r="F554" s="139" t="s">
        <v>485</v>
      </c>
      <c r="G554" s="140" t="s">
        <v>147</v>
      </c>
      <c r="H554" s="141">
        <v>5</v>
      </c>
      <c r="I554" s="278"/>
      <c r="J554" s="142">
        <f>ROUND(I554*H554,2)</f>
        <v>0</v>
      </c>
      <c r="K554" s="139" t="s">
        <v>143</v>
      </c>
      <c r="L554" s="32"/>
      <c r="M554" s="143" t="s">
        <v>3</v>
      </c>
      <c r="N554" s="144" t="s">
        <v>43</v>
      </c>
      <c r="O554" s="145">
        <v>0</v>
      </c>
      <c r="P554" s="145">
        <f>O554*H554</f>
        <v>0</v>
      </c>
      <c r="Q554" s="145">
        <v>0</v>
      </c>
      <c r="R554" s="145">
        <f>Q554*H554</f>
        <v>0</v>
      </c>
      <c r="S554" s="145">
        <v>0</v>
      </c>
      <c r="T554" s="146">
        <f>S554*H554</f>
        <v>0</v>
      </c>
      <c r="U554" s="31"/>
      <c r="V554" s="31"/>
      <c r="W554" s="31"/>
      <c r="X554" s="31"/>
      <c r="Y554" s="31"/>
      <c r="Z554" s="31"/>
      <c r="AA554" s="31"/>
      <c r="AB554" s="31"/>
      <c r="AC554" s="31"/>
      <c r="AD554" s="31"/>
      <c r="AE554" s="31"/>
      <c r="AR554" s="147" t="s">
        <v>200</v>
      </c>
      <c r="AT554" s="147" t="s">
        <v>141</v>
      </c>
      <c r="AU554" s="147" t="s">
        <v>82</v>
      </c>
      <c r="AY554" s="19" t="s">
        <v>138</v>
      </c>
      <c r="BE554" s="148">
        <f>IF(N554="základní",J554,0)</f>
        <v>0</v>
      </c>
      <c r="BF554" s="148">
        <f>IF(N554="snížená",J554,0)</f>
        <v>0</v>
      </c>
      <c r="BG554" s="148">
        <f>IF(N554="zákl. přenesená",J554,0)</f>
        <v>0</v>
      </c>
      <c r="BH554" s="148">
        <f>IF(N554="sníž. přenesená",J554,0)</f>
        <v>0</v>
      </c>
      <c r="BI554" s="148">
        <f>IF(N554="nulová",J554,0)</f>
        <v>0</v>
      </c>
      <c r="BJ554" s="19" t="s">
        <v>80</v>
      </c>
      <c r="BK554" s="148">
        <f>ROUND(I554*H554,2)</f>
        <v>0</v>
      </c>
      <c r="BL554" s="19" t="s">
        <v>200</v>
      </c>
      <c r="BM554" s="147" t="s">
        <v>486</v>
      </c>
    </row>
    <row r="555" spans="1:65" s="13" customFormat="1">
      <c r="B555" s="149"/>
      <c r="D555" s="150" t="s">
        <v>145</v>
      </c>
      <c r="E555" s="151" t="s">
        <v>3</v>
      </c>
      <c r="F555" s="152" t="s">
        <v>1545</v>
      </c>
      <c r="H555" s="151" t="s">
        <v>3</v>
      </c>
      <c r="I555" s="282"/>
      <c r="L555" s="149"/>
      <c r="M555" s="153"/>
      <c r="N555" s="154"/>
      <c r="O555" s="154"/>
      <c r="P555" s="154"/>
      <c r="Q555" s="154"/>
      <c r="R555" s="154"/>
      <c r="S555" s="154"/>
      <c r="T555" s="155"/>
      <c r="AT555" s="151" t="s">
        <v>145</v>
      </c>
      <c r="AU555" s="151" t="s">
        <v>82</v>
      </c>
      <c r="AV555" s="13" t="s">
        <v>80</v>
      </c>
      <c r="AW555" s="13" t="s">
        <v>34</v>
      </c>
      <c r="AX555" s="13" t="s">
        <v>72</v>
      </c>
      <c r="AY555" s="151" t="s">
        <v>138</v>
      </c>
    </row>
    <row r="556" spans="1:65" s="14" customFormat="1">
      <c r="B556" s="156"/>
      <c r="D556" s="150" t="s">
        <v>145</v>
      </c>
      <c r="E556" s="157" t="s">
        <v>3</v>
      </c>
      <c r="F556" s="158">
        <v>5</v>
      </c>
      <c r="H556" s="159">
        <v>5</v>
      </c>
      <c r="I556" s="280"/>
      <c r="L556" s="156"/>
      <c r="M556" s="160"/>
      <c r="N556" s="161"/>
      <c r="O556" s="161"/>
      <c r="P556" s="161"/>
      <c r="Q556" s="161"/>
      <c r="R556" s="161"/>
      <c r="S556" s="161"/>
      <c r="T556" s="162"/>
      <c r="AT556" s="157" t="s">
        <v>145</v>
      </c>
      <c r="AU556" s="157" t="s">
        <v>82</v>
      </c>
      <c r="AV556" s="14" t="s">
        <v>82</v>
      </c>
      <c r="AW556" s="14" t="s">
        <v>34</v>
      </c>
      <c r="AX556" s="14" t="s">
        <v>80</v>
      </c>
      <c r="AY556" s="157" t="s">
        <v>138</v>
      </c>
    </row>
    <row r="557" spans="1:65" s="2" customFormat="1" ht="14.45" customHeight="1">
      <c r="A557" s="31"/>
      <c r="B557" s="136"/>
      <c r="C557" s="137">
        <v>97</v>
      </c>
      <c r="D557" s="137" t="s">
        <v>141</v>
      </c>
      <c r="E557" s="138" t="s">
        <v>487</v>
      </c>
      <c r="F557" s="139" t="s">
        <v>488</v>
      </c>
      <c r="G557" s="140" t="s">
        <v>147</v>
      </c>
      <c r="H557" s="141">
        <f>H559</f>
        <v>7</v>
      </c>
      <c r="I557" s="278"/>
      <c r="J557" s="142">
        <f>ROUND(I557*H557,2)</f>
        <v>0</v>
      </c>
      <c r="K557" s="139" t="s">
        <v>143</v>
      </c>
      <c r="L557" s="32"/>
      <c r="M557" s="143" t="s">
        <v>3</v>
      </c>
      <c r="N557" s="144" t="s">
        <v>43</v>
      </c>
      <c r="O557" s="145">
        <v>0</v>
      </c>
      <c r="P557" s="145">
        <f>O557*H557</f>
        <v>0</v>
      </c>
      <c r="Q557" s="145">
        <v>0</v>
      </c>
      <c r="R557" s="145">
        <f>Q557*H557</f>
        <v>0</v>
      </c>
      <c r="S557" s="145">
        <v>0</v>
      </c>
      <c r="T557" s="146">
        <f>S557*H557</f>
        <v>0</v>
      </c>
      <c r="U557" s="31"/>
      <c r="V557" s="31"/>
      <c r="W557" s="31"/>
      <c r="X557" s="31"/>
      <c r="Y557" s="31"/>
      <c r="Z557" s="31"/>
      <c r="AA557" s="31"/>
      <c r="AB557" s="31"/>
      <c r="AC557" s="31"/>
      <c r="AD557" s="31"/>
      <c r="AE557" s="31"/>
      <c r="AR557" s="147" t="s">
        <v>200</v>
      </c>
      <c r="AT557" s="147" t="s">
        <v>141</v>
      </c>
      <c r="AU557" s="147" t="s">
        <v>82</v>
      </c>
      <c r="AY557" s="19" t="s">
        <v>138</v>
      </c>
      <c r="BE557" s="148">
        <f>IF(N557="základní",J557,0)</f>
        <v>0</v>
      </c>
      <c r="BF557" s="148">
        <f>IF(N557="snížená",J557,0)</f>
        <v>0</v>
      </c>
      <c r="BG557" s="148">
        <f>IF(N557="zákl. přenesená",J557,0)</f>
        <v>0</v>
      </c>
      <c r="BH557" s="148">
        <f>IF(N557="sníž. přenesená",J557,0)</f>
        <v>0</v>
      </c>
      <c r="BI557" s="148">
        <f>IF(N557="nulová",J557,0)</f>
        <v>0</v>
      </c>
      <c r="BJ557" s="19" t="s">
        <v>80</v>
      </c>
      <c r="BK557" s="148">
        <f>ROUND(I557*H557,2)</f>
        <v>0</v>
      </c>
      <c r="BL557" s="19" t="s">
        <v>200</v>
      </c>
      <c r="BM557" s="147" t="s">
        <v>489</v>
      </c>
    </row>
    <row r="558" spans="1:65" s="13" customFormat="1">
      <c r="B558" s="149"/>
      <c r="D558" s="150" t="s">
        <v>145</v>
      </c>
      <c r="E558" s="151" t="s">
        <v>3</v>
      </c>
      <c r="F558" s="152" t="s">
        <v>1545</v>
      </c>
      <c r="H558" s="151" t="s">
        <v>3</v>
      </c>
      <c r="I558" s="282"/>
      <c r="L558" s="149"/>
      <c r="M558" s="153"/>
      <c r="N558" s="154"/>
      <c r="O558" s="154"/>
      <c r="P558" s="154"/>
      <c r="Q558" s="154"/>
      <c r="R558" s="154"/>
      <c r="S558" s="154"/>
      <c r="T558" s="155"/>
      <c r="AT558" s="151" t="s">
        <v>145</v>
      </c>
      <c r="AU558" s="151" t="s">
        <v>82</v>
      </c>
      <c r="AV558" s="13" t="s">
        <v>80</v>
      </c>
      <c r="AW558" s="13" t="s">
        <v>34</v>
      </c>
      <c r="AX558" s="13" t="s">
        <v>72</v>
      </c>
      <c r="AY558" s="151" t="s">
        <v>138</v>
      </c>
    </row>
    <row r="559" spans="1:65" s="14" customFormat="1">
      <c r="B559" s="156"/>
      <c r="D559" s="150" t="s">
        <v>145</v>
      </c>
      <c r="E559" s="157" t="s">
        <v>3</v>
      </c>
      <c r="F559" s="158">
        <v>7</v>
      </c>
      <c r="H559" s="159">
        <f>F559</f>
        <v>7</v>
      </c>
      <c r="I559" s="280"/>
      <c r="L559" s="156"/>
      <c r="M559" s="160"/>
      <c r="N559" s="161"/>
      <c r="O559" s="161"/>
      <c r="P559" s="161"/>
      <c r="Q559" s="161"/>
      <c r="R559" s="161"/>
      <c r="S559" s="161"/>
      <c r="T559" s="162"/>
      <c r="AT559" s="157" t="s">
        <v>145</v>
      </c>
      <c r="AU559" s="157" t="s">
        <v>82</v>
      </c>
      <c r="AV559" s="14" t="s">
        <v>82</v>
      </c>
      <c r="AW559" s="14" t="s">
        <v>34</v>
      </c>
      <c r="AX559" s="14" t="s">
        <v>80</v>
      </c>
      <c r="AY559" s="157" t="s">
        <v>138</v>
      </c>
    </row>
    <row r="560" spans="1:65" s="2" customFormat="1" ht="14.45" customHeight="1">
      <c r="A560" s="31"/>
      <c r="B560" s="136"/>
      <c r="C560" s="137">
        <v>98</v>
      </c>
      <c r="D560" s="137" t="s">
        <v>141</v>
      </c>
      <c r="E560" s="138" t="s">
        <v>490</v>
      </c>
      <c r="F560" s="139" t="s">
        <v>491</v>
      </c>
      <c r="G560" s="140" t="s">
        <v>147</v>
      </c>
      <c r="H560" s="141">
        <f>H562</f>
        <v>11</v>
      </c>
      <c r="I560" s="278"/>
      <c r="J560" s="142">
        <f>ROUND(I560*H560,2)</f>
        <v>0</v>
      </c>
      <c r="K560" s="139" t="s">
        <v>143</v>
      </c>
      <c r="L560" s="32"/>
      <c r="M560" s="143" t="s">
        <v>3</v>
      </c>
      <c r="N560" s="144" t="s">
        <v>43</v>
      </c>
      <c r="O560" s="145">
        <v>0</v>
      </c>
      <c r="P560" s="145">
        <f>O560*H560</f>
        <v>0</v>
      </c>
      <c r="Q560" s="145">
        <v>0</v>
      </c>
      <c r="R560" s="145">
        <f>Q560*H560</f>
        <v>0</v>
      </c>
      <c r="S560" s="145">
        <v>0</v>
      </c>
      <c r="T560" s="146">
        <f>S560*H560</f>
        <v>0</v>
      </c>
      <c r="U560" s="31"/>
      <c r="V560" s="31"/>
      <c r="W560" s="31"/>
      <c r="X560" s="31"/>
      <c r="Y560" s="31"/>
      <c r="Z560" s="31"/>
      <c r="AA560" s="31"/>
      <c r="AB560" s="31"/>
      <c r="AC560" s="31"/>
      <c r="AD560" s="31"/>
      <c r="AE560" s="31"/>
      <c r="AR560" s="147" t="s">
        <v>200</v>
      </c>
      <c r="AT560" s="147" t="s">
        <v>141</v>
      </c>
      <c r="AU560" s="147" t="s">
        <v>82</v>
      </c>
      <c r="AY560" s="19" t="s">
        <v>138</v>
      </c>
      <c r="BE560" s="148">
        <f>IF(N560="základní",J560,0)</f>
        <v>0</v>
      </c>
      <c r="BF560" s="148">
        <f>IF(N560="snížená",J560,0)</f>
        <v>0</v>
      </c>
      <c r="BG560" s="148">
        <f>IF(N560="zákl. přenesená",J560,0)</f>
        <v>0</v>
      </c>
      <c r="BH560" s="148">
        <f>IF(N560="sníž. přenesená",J560,0)</f>
        <v>0</v>
      </c>
      <c r="BI560" s="148">
        <f>IF(N560="nulová",J560,0)</f>
        <v>0</v>
      </c>
      <c r="BJ560" s="19" t="s">
        <v>80</v>
      </c>
      <c r="BK560" s="148">
        <f>ROUND(I560*H560,2)</f>
        <v>0</v>
      </c>
      <c r="BL560" s="19" t="s">
        <v>200</v>
      </c>
      <c r="BM560" s="147" t="s">
        <v>492</v>
      </c>
    </row>
    <row r="561" spans="1:65" s="13" customFormat="1">
      <c r="B561" s="149"/>
      <c r="D561" s="150" t="s">
        <v>145</v>
      </c>
      <c r="E561" s="151" t="s">
        <v>3</v>
      </c>
      <c r="F561" s="152" t="s">
        <v>1545</v>
      </c>
      <c r="H561" s="151" t="s">
        <v>3</v>
      </c>
      <c r="I561" s="282"/>
      <c r="L561" s="149"/>
      <c r="M561" s="153"/>
      <c r="N561" s="154"/>
      <c r="O561" s="154"/>
      <c r="P561" s="154"/>
      <c r="Q561" s="154"/>
      <c r="R561" s="154"/>
      <c r="S561" s="154"/>
      <c r="T561" s="155"/>
      <c r="AT561" s="151" t="s">
        <v>145</v>
      </c>
      <c r="AU561" s="151" t="s">
        <v>82</v>
      </c>
      <c r="AV561" s="13" t="s">
        <v>80</v>
      </c>
      <c r="AW561" s="13" t="s">
        <v>34</v>
      </c>
      <c r="AX561" s="13" t="s">
        <v>72</v>
      </c>
      <c r="AY561" s="151" t="s">
        <v>138</v>
      </c>
    </row>
    <row r="562" spans="1:65" s="14" customFormat="1">
      <c r="B562" s="156"/>
      <c r="D562" s="150" t="s">
        <v>145</v>
      </c>
      <c r="E562" s="157" t="s">
        <v>3</v>
      </c>
      <c r="F562" s="158">
        <v>11</v>
      </c>
      <c r="H562" s="159">
        <v>11</v>
      </c>
      <c r="I562" s="280"/>
      <c r="L562" s="156"/>
      <c r="M562" s="160"/>
      <c r="N562" s="161"/>
      <c r="O562" s="161"/>
      <c r="P562" s="161"/>
      <c r="Q562" s="161"/>
      <c r="R562" s="161"/>
      <c r="S562" s="161"/>
      <c r="T562" s="162"/>
      <c r="AT562" s="157" t="s">
        <v>145</v>
      </c>
      <c r="AU562" s="157" t="s">
        <v>82</v>
      </c>
      <c r="AV562" s="14" t="s">
        <v>82</v>
      </c>
      <c r="AW562" s="14" t="s">
        <v>34</v>
      </c>
      <c r="AX562" s="14" t="s">
        <v>80</v>
      </c>
      <c r="AY562" s="157" t="s">
        <v>138</v>
      </c>
    </row>
    <row r="563" spans="1:65" s="2" customFormat="1" ht="14.45" customHeight="1">
      <c r="A563" s="31"/>
      <c r="B563" s="136"/>
      <c r="C563" s="137">
        <v>99</v>
      </c>
      <c r="D563" s="137" t="s">
        <v>141</v>
      </c>
      <c r="E563" s="138" t="s">
        <v>493</v>
      </c>
      <c r="F563" s="139" t="s">
        <v>494</v>
      </c>
      <c r="G563" s="140" t="s">
        <v>147</v>
      </c>
      <c r="H563" s="141">
        <f>H565</f>
        <v>2</v>
      </c>
      <c r="I563" s="278"/>
      <c r="J563" s="142">
        <f>ROUND(I563*H563,2)</f>
        <v>0</v>
      </c>
      <c r="K563" s="139" t="s">
        <v>143</v>
      </c>
      <c r="L563" s="32"/>
      <c r="M563" s="143" t="s">
        <v>3</v>
      </c>
      <c r="N563" s="144" t="s">
        <v>43</v>
      </c>
      <c r="O563" s="145">
        <v>0</v>
      </c>
      <c r="P563" s="145">
        <f>O563*H563</f>
        <v>0</v>
      </c>
      <c r="Q563" s="145">
        <v>0</v>
      </c>
      <c r="R563" s="145">
        <f>Q563*H563</f>
        <v>0</v>
      </c>
      <c r="S563" s="145">
        <v>0</v>
      </c>
      <c r="T563" s="146">
        <f>S563*H563</f>
        <v>0</v>
      </c>
      <c r="U563" s="31"/>
      <c r="V563" s="31"/>
      <c r="W563" s="31"/>
      <c r="X563" s="31"/>
      <c r="Y563" s="31"/>
      <c r="Z563" s="31"/>
      <c r="AA563" s="31"/>
      <c r="AB563" s="31"/>
      <c r="AC563" s="31"/>
      <c r="AD563" s="31"/>
      <c r="AE563" s="31"/>
      <c r="AR563" s="147" t="s">
        <v>200</v>
      </c>
      <c r="AT563" s="147" t="s">
        <v>141</v>
      </c>
      <c r="AU563" s="147" t="s">
        <v>82</v>
      </c>
      <c r="AY563" s="19" t="s">
        <v>138</v>
      </c>
      <c r="BE563" s="148">
        <f>IF(N563="základní",J563,0)</f>
        <v>0</v>
      </c>
      <c r="BF563" s="148">
        <f>IF(N563="snížená",J563,0)</f>
        <v>0</v>
      </c>
      <c r="BG563" s="148">
        <f>IF(N563="zákl. přenesená",J563,0)</f>
        <v>0</v>
      </c>
      <c r="BH563" s="148">
        <f>IF(N563="sníž. přenesená",J563,0)</f>
        <v>0</v>
      </c>
      <c r="BI563" s="148">
        <f>IF(N563="nulová",J563,0)</f>
        <v>0</v>
      </c>
      <c r="BJ563" s="19" t="s">
        <v>80</v>
      </c>
      <c r="BK563" s="148">
        <f>ROUND(I563*H563,2)</f>
        <v>0</v>
      </c>
      <c r="BL563" s="19" t="s">
        <v>200</v>
      </c>
      <c r="BM563" s="147" t="s">
        <v>495</v>
      </c>
    </row>
    <row r="564" spans="1:65" s="13" customFormat="1">
      <c r="B564" s="149"/>
      <c r="D564" s="150" t="s">
        <v>145</v>
      </c>
      <c r="E564" s="151" t="s">
        <v>3</v>
      </c>
      <c r="F564" s="152" t="s">
        <v>1545</v>
      </c>
      <c r="H564" s="151" t="s">
        <v>3</v>
      </c>
      <c r="I564" s="282"/>
      <c r="L564" s="149"/>
      <c r="M564" s="153"/>
      <c r="N564" s="154"/>
      <c r="O564" s="154"/>
      <c r="P564" s="154"/>
      <c r="Q564" s="154"/>
      <c r="R564" s="154"/>
      <c r="S564" s="154"/>
      <c r="T564" s="155"/>
      <c r="AT564" s="151" t="s">
        <v>145</v>
      </c>
      <c r="AU564" s="151" t="s">
        <v>82</v>
      </c>
      <c r="AV564" s="13" t="s">
        <v>80</v>
      </c>
      <c r="AW564" s="13" t="s">
        <v>34</v>
      </c>
      <c r="AX564" s="13" t="s">
        <v>72</v>
      </c>
      <c r="AY564" s="151" t="s">
        <v>138</v>
      </c>
    </row>
    <row r="565" spans="1:65" s="14" customFormat="1">
      <c r="B565" s="156"/>
      <c r="D565" s="150" t="s">
        <v>145</v>
      </c>
      <c r="E565" s="157" t="s">
        <v>3</v>
      </c>
      <c r="F565" s="158">
        <v>2</v>
      </c>
      <c r="H565" s="159">
        <v>2</v>
      </c>
      <c r="I565" s="280"/>
      <c r="L565" s="156"/>
      <c r="M565" s="160"/>
      <c r="N565" s="161"/>
      <c r="O565" s="161"/>
      <c r="P565" s="161"/>
      <c r="Q565" s="161"/>
      <c r="R565" s="161"/>
      <c r="S565" s="161"/>
      <c r="T565" s="162"/>
      <c r="AT565" s="157" t="s">
        <v>145</v>
      </c>
      <c r="AU565" s="157" t="s">
        <v>82</v>
      </c>
      <c r="AV565" s="14" t="s">
        <v>82</v>
      </c>
      <c r="AW565" s="14" t="s">
        <v>34</v>
      </c>
      <c r="AX565" s="14" t="s">
        <v>80</v>
      </c>
      <c r="AY565" s="157" t="s">
        <v>138</v>
      </c>
    </row>
    <row r="566" spans="1:65" s="12" customFormat="1" ht="22.9" customHeight="1">
      <c r="B566" s="124"/>
      <c r="D566" s="125" t="s">
        <v>71</v>
      </c>
      <c r="E566" s="134" t="s">
        <v>496</v>
      </c>
      <c r="F566" s="134" t="s">
        <v>497</v>
      </c>
      <c r="I566" s="285"/>
      <c r="J566" s="135">
        <f>BK566</f>
        <v>0</v>
      </c>
      <c r="L566" s="124"/>
      <c r="M566" s="128"/>
      <c r="N566" s="129"/>
      <c r="O566" s="129"/>
      <c r="P566" s="130">
        <f>SUM(P567:P599)</f>
        <v>130.55301766000002</v>
      </c>
      <c r="Q566" s="129"/>
      <c r="R566" s="130">
        <f>SUM(R567:R599)</f>
        <v>0.38861765840000007</v>
      </c>
      <c r="S566" s="129"/>
      <c r="T566" s="131">
        <f>SUM(T567:T599)</f>
        <v>0</v>
      </c>
      <c r="AR566" s="125" t="s">
        <v>82</v>
      </c>
      <c r="AT566" s="132" t="s">
        <v>71</v>
      </c>
      <c r="AU566" s="132" t="s">
        <v>80</v>
      </c>
      <c r="AY566" s="125" t="s">
        <v>138</v>
      </c>
      <c r="BK566" s="133">
        <f>SUM(BK567:BK599)</f>
        <v>0</v>
      </c>
    </row>
    <row r="567" spans="1:65" s="2" customFormat="1" ht="24.2" customHeight="1">
      <c r="A567" s="31"/>
      <c r="B567" s="136"/>
      <c r="C567" s="137">
        <v>100</v>
      </c>
      <c r="D567" s="137" t="s">
        <v>141</v>
      </c>
      <c r="E567" s="138" t="s">
        <v>498</v>
      </c>
      <c r="F567" s="139" t="s">
        <v>499</v>
      </c>
      <c r="G567" s="140" t="s">
        <v>173</v>
      </c>
      <c r="H567" s="141">
        <f>H570</f>
        <v>211.39</v>
      </c>
      <c r="I567" s="278"/>
      <c r="J567" s="142">
        <f>ROUND(I567*H567,2)</f>
        <v>0</v>
      </c>
      <c r="K567" s="139" t="s">
        <v>148</v>
      </c>
      <c r="L567" s="32"/>
      <c r="M567" s="143" t="s">
        <v>3</v>
      </c>
      <c r="N567" s="144" t="s">
        <v>43</v>
      </c>
      <c r="O567" s="145">
        <v>1.2E-2</v>
      </c>
      <c r="P567" s="145">
        <f>O567*H567</f>
        <v>2.53668</v>
      </c>
      <c r="Q567" s="145">
        <v>0</v>
      </c>
      <c r="R567" s="145">
        <f>Q567*H567</f>
        <v>0</v>
      </c>
      <c r="S567" s="145">
        <v>0</v>
      </c>
      <c r="T567" s="146">
        <f>S567*H567</f>
        <v>0</v>
      </c>
      <c r="U567" s="31"/>
      <c r="V567" s="31"/>
      <c r="W567" s="31"/>
      <c r="X567" s="31"/>
      <c r="Y567" s="31"/>
      <c r="Z567" s="31"/>
      <c r="AA567" s="31"/>
      <c r="AB567" s="31"/>
      <c r="AC567" s="31"/>
      <c r="AD567" s="31"/>
      <c r="AE567" s="31"/>
      <c r="AR567" s="147" t="s">
        <v>200</v>
      </c>
      <c r="AT567" s="147" t="s">
        <v>141</v>
      </c>
      <c r="AU567" s="147" t="s">
        <v>82</v>
      </c>
      <c r="AY567" s="19" t="s">
        <v>138</v>
      </c>
      <c r="BE567" s="148">
        <f>IF(N567="základní",J567,0)</f>
        <v>0</v>
      </c>
      <c r="BF567" s="148">
        <f>IF(N567="snížená",J567,0)</f>
        <v>0</v>
      </c>
      <c r="BG567" s="148">
        <f>IF(N567="zákl. přenesená",J567,0)</f>
        <v>0</v>
      </c>
      <c r="BH567" s="148">
        <f>IF(N567="sníž. přenesená",J567,0)</f>
        <v>0</v>
      </c>
      <c r="BI567" s="148">
        <f>IF(N567="nulová",J567,0)</f>
        <v>0</v>
      </c>
      <c r="BJ567" s="19" t="s">
        <v>80</v>
      </c>
      <c r="BK567" s="148">
        <f>ROUND(I567*H567,2)</f>
        <v>0</v>
      </c>
      <c r="BL567" s="19" t="s">
        <v>200</v>
      </c>
      <c r="BM567" s="147" t="s">
        <v>500</v>
      </c>
    </row>
    <row r="568" spans="1:65" s="2" customFormat="1" ht="39">
      <c r="A568" s="31"/>
      <c r="B568" s="32"/>
      <c r="C568" s="31"/>
      <c r="D568" s="150" t="s">
        <v>149</v>
      </c>
      <c r="E568" s="31"/>
      <c r="F568" s="163" t="s">
        <v>501</v>
      </c>
      <c r="G568" s="31"/>
      <c r="H568" s="31"/>
      <c r="I568" s="279"/>
      <c r="J568" s="31"/>
      <c r="K568" s="31"/>
      <c r="L568" s="32"/>
      <c r="M568" s="164"/>
      <c r="N568" s="165"/>
      <c r="O568" s="52"/>
      <c r="P568" s="52"/>
      <c r="Q568" s="52"/>
      <c r="R568" s="52"/>
      <c r="S568" s="52"/>
      <c r="T568" s="53"/>
      <c r="U568" s="31"/>
      <c r="V568" s="31"/>
      <c r="W568" s="31"/>
      <c r="X568" s="31"/>
      <c r="Y568" s="31"/>
      <c r="Z568" s="31"/>
      <c r="AA568" s="31"/>
      <c r="AB568" s="31"/>
      <c r="AC568" s="31"/>
      <c r="AD568" s="31"/>
      <c r="AE568" s="31"/>
      <c r="AT568" s="19" t="s">
        <v>149</v>
      </c>
      <c r="AU568" s="19" t="s">
        <v>82</v>
      </c>
    </row>
    <row r="569" spans="1:65" s="13" customFormat="1">
      <c r="B569" s="149"/>
      <c r="D569" s="150" t="s">
        <v>145</v>
      </c>
      <c r="E569" s="151" t="s">
        <v>3</v>
      </c>
      <c r="F569" s="152" t="s">
        <v>1295</v>
      </c>
      <c r="H569" s="151" t="s">
        <v>3</v>
      </c>
      <c r="I569" s="282"/>
      <c r="L569" s="149"/>
      <c r="M569" s="153"/>
      <c r="N569" s="154"/>
      <c r="O569" s="154"/>
      <c r="P569" s="154"/>
      <c r="Q569" s="154"/>
      <c r="R569" s="154"/>
      <c r="S569" s="154"/>
      <c r="T569" s="155"/>
      <c r="AT569" s="151" t="s">
        <v>145</v>
      </c>
      <c r="AU569" s="151" t="s">
        <v>82</v>
      </c>
      <c r="AV569" s="13" t="s">
        <v>80</v>
      </c>
      <c r="AW569" s="13" t="s">
        <v>34</v>
      </c>
      <c r="AX569" s="13" t="s">
        <v>72</v>
      </c>
      <c r="AY569" s="151" t="s">
        <v>138</v>
      </c>
    </row>
    <row r="570" spans="1:65" s="14" customFormat="1">
      <c r="B570" s="156"/>
      <c r="D570" s="150" t="s">
        <v>145</v>
      </c>
      <c r="E570" s="157" t="s">
        <v>3</v>
      </c>
      <c r="F570" s="158" t="s">
        <v>1547</v>
      </c>
      <c r="H570" s="159">
        <f>110.04+101.35</f>
        <v>211.39</v>
      </c>
      <c r="I570" s="280"/>
      <c r="L570" s="156"/>
      <c r="M570" s="160"/>
      <c r="N570" s="161"/>
      <c r="O570" s="161"/>
      <c r="P570" s="161"/>
      <c r="Q570" s="161"/>
      <c r="R570" s="161"/>
      <c r="S570" s="161"/>
      <c r="T570" s="162"/>
      <c r="AT570" s="157" t="s">
        <v>145</v>
      </c>
      <c r="AU570" s="157" t="s">
        <v>82</v>
      </c>
      <c r="AV570" s="14" t="s">
        <v>82</v>
      </c>
      <c r="AW570" s="14" t="s">
        <v>34</v>
      </c>
      <c r="AX570" s="14" t="s">
        <v>80</v>
      </c>
      <c r="AY570" s="157" t="s">
        <v>138</v>
      </c>
    </row>
    <row r="571" spans="1:65" s="2" customFormat="1" ht="14.45" customHeight="1">
      <c r="A571" s="31"/>
      <c r="B571" s="136"/>
      <c r="C571" s="173">
        <v>101</v>
      </c>
      <c r="D571" s="173" t="s">
        <v>164</v>
      </c>
      <c r="E571" s="174" t="s">
        <v>502</v>
      </c>
      <c r="F571" s="175" t="s">
        <v>503</v>
      </c>
      <c r="G571" s="176" t="s">
        <v>173</v>
      </c>
      <c r="H571" s="177">
        <f>H572</f>
        <v>221.95949999999999</v>
      </c>
      <c r="I571" s="281"/>
      <c r="J571" s="178">
        <f>ROUND(I571*H571,2)</f>
        <v>0</v>
      </c>
      <c r="K571" s="175" t="s">
        <v>148</v>
      </c>
      <c r="L571" s="179"/>
      <c r="M571" s="180" t="s">
        <v>3</v>
      </c>
      <c r="N571" s="181" t="s">
        <v>43</v>
      </c>
      <c r="O571" s="145">
        <v>0</v>
      </c>
      <c r="P571" s="145">
        <f>O571*H571</f>
        <v>0</v>
      </c>
      <c r="Q571" s="145">
        <v>0</v>
      </c>
      <c r="R571" s="145">
        <f>Q571*H571</f>
        <v>0</v>
      </c>
      <c r="S571" s="145">
        <v>0</v>
      </c>
      <c r="T571" s="146">
        <f>S571*H571</f>
        <v>0</v>
      </c>
      <c r="U571" s="31"/>
      <c r="V571" s="31"/>
      <c r="W571" s="31"/>
      <c r="X571" s="31"/>
      <c r="Y571" s="31"/>
      <c r="Z571" s="31"/>
      <c r="AA571" s="31"/>
      <c r="AB571" s="31"/>
      <c r="AC571" s="31"/>
      <c r="AD571" s="31"/>
      <c r="AE571" s="31"/>
      <c r="AR571" s="147" t="s">
        <v>224</v>
      </c>
      <c r="AT571" s="147" t="s">
        <v>164</v>
      </c>
      <c r="AU571" s="147" t="s">
        <v>82</v>
      </c>
      <c r="AY571" s="19" t="s">
        <v>138</v>
      </c>
      <c r="BE571" s="148">
        <f>IF(N571="základní",J571,0)</f>
        <v>0</v>
      </c>
      <c r="BF571" s="148">
        <f>IF(N571="snížená",J571,0)</f>
        <v>0</v>
      </c>
      <c r="BG571" s="148">
        <f>IF(N571="zákl. přenesená",J571,0)</f>
        <v>0</v>
      </c>
      <c r="BH571" s="148">
        <f>IF(N571="sníž. přenesená",J571,0)</f>
        <v>0</v>
      </c>
      <c r="BI571" s="148">
        <f>IF(N571="nulová",J571,0)</f>
        <v>0</v>
      </c>
      <c r="BJ571" s="19" t="s">
        <v>80</v>
      </c>
      <c r="BK571" s="148">
        <f>ROUND(I571*H571,2)</f>
        <v>0</v>
      </c>
      <c r="BL571" s="19" t="s">
        <v>200</v>
      </c>
      <c r="BM571" s="147" t="s">
        <v>504</v>
      </c>
    </row>
    <row r="572" spans="1:65" s="14" customFormat="1">
      <c r="B572" s="156"/>
      <c r="D572" s="150" t="s">
        <v>145</v>
      </c>
      <c r="F572" s="158" t="s">
        <v>1296</v>
      </c>
      <c r="H572" s="159">
        <f>H567*1.05</f>
        <v>221.95949999999999</v>
      </c>
      <c r="I572" s="280"/>
      <c r="L572" s="156"/>
      <c r="M572" s="160"/>
      <c r="N572" s="161"/>
      <c r="O572" s="161"/>
      <c r="P572" s="161"/>
      <c r="Q572" s="161"/>
      <c r="R572" s="161"/>
      <c r="S572" s="161"/>
      <c r="T572" s="162"/>
      <c r="AT572" s="157" t="s">
        <v>145</v>
      </c>
      <c r="AU572" s="157" t="s">
        <v>82</v>
      </c>
      <c r="AV572" s="14" t="s">
        <v>82</v>
      </c>
      <c r="AW572" s="14" t="s">
        <v>4</v>
      </c>
      <c r="AX572" s="14" t="s">
        <v>80</v>
      </c>
      <c r="AY572" s="157" t="s">
        <v>138</v>
      </c>
    </row>
    <row r="573" spans="1:65" s="2" customFormat="1" ht="37.9" customHeight="1">
      <c r="A573" s="31"/>
      <c r="B573" s="136"/>
      <c r="C573" s="137">
        <v>102</v>
      </c>
      <c r="D573" s="137" t="s">
        <v>141</v>
      </c>
      <c r="E573" s="138" t="s">
        <v>505</v>
      </c>
      <c r="F573" s="139" t="s">
        <v>506</v>
      </c>
      <c r="G573" s="140" t="s">
        <v>173</v>
      </c>
      <c r="H573" s="141">
        <f>H579</f>
        <v>48.034200000000006</v>
      </c>
      <c r="I573" s="278"/>
      <c r="J573" s="142">
        <f>ROUND(I573*H573,2)</f>
        <v>0</v>
      </c>
      <c r="K573" s="139" t="s">
        <v>148</v>
      </c>
      <c r="L573" s="32"/>
      <c r="M573" s="143" t="s">
        <v>3</v>
      </c>
      <c r="N573" s="144" t="s">
        <v>43</v>
      </c>
      <c r="O573" s="145">
        <v>1.6E-2</v>
      </c>
      <c r="P573" s="145">
        <f>O573*H573</f>
        <v>0.7685472000000001</v>
      </c>
      <c r="Q573" s="145">
        <v>0</v>
      </c>
      <c r="R573" s="145">
        <f>Q573*H573</f>
        <v>0</v>
      </c>
      <c r="S573" s="145">
        <v>0</v>
      </c>
      <c r="T573" s="146">
        <f>S573*H573</f>
        <v>0</v>
      </c>
      <c r="U573" s="31"/>
      <c r="V573" s="31"/>
      <c r="W573" s="31"/>
      <c r="X573" s="31"/>
      <c r="Y573" s="31"/>
      <c r="Z573" s="31"/>
      <c r="AA573" s="31"/>
      <c r="AB573" s="31"/>
      <c r="AC573" s="31"/>
      <c r="AD573" s="31"/>
      <c r="AE573" s="31"/>
      <c r="AR573" s="147" t="s">
        <v>200</v>
      </c>
      <c r="AT573" s="147" t="s">
        <v>141</v>
      </c>
      <c r="AU573" s="147" t="s">
        <v>82</v>
      </c>
      <c r="AY573" s="19" t="s">
        <v>138</v>
      </c>
      <c r="BE573" s="148">
        <f>IF(N573="základní",J573,0)</f>
        <v>0</v>
      </c>
      <c r="BF573" s="148">
        <f>IF(N573="snížená",J573,0)</f>
        <v>0</v>
      </c>
      <c r="BG573" s="148">
        <f>IF(N573="zákl. přenesená",J573,0)</f>
        <v>0</v>
      </c>
      <c r="BH573" s="148">
        <f>IF(N573="sníž. přenesená",J573,0)</f>
        <v>0</v>
      </c>
      <c r="BI573" s="148">
        <f>IF(N573="nulová",J573,0)</f>
        <v>0</v>
      </c>
      <c r="BJ573" s="19" t="s">
        <v>80</v>
      </c>
      <c r="BK573" s="148">
        <f>ROUND(I573*H573,2)</f>
        <v>0</v>
      </c>
      <c r="BL573" s="19" t="s">
        <v>200</v>
      </c>
      <c r="BM573" s="147" t="s">
        <v>507</v>
      </c>
    </row>
    <row r="574" spans="1:65" s="2" customFormat="1" ht="39">
      <c r="A574" s="31"/>
      <c r="B574" s="32"/>
      <c r="C574" s="31"/>
      <c r="D574" s="150" t="s">
        <v>149</v>
      </c>
      <c r="E574" s="31"/>
      <c r="F574" s="163" t="s">
        <v>501</v>
      </c>
      <c r="G574" s="31"/>
      <c r="H574" s="31"/>
      <c r="I574" s="279"/>
      <c r="J574" s="31"/>
      <c r="K574" s="31"/>
      <c r="L574" s="32"/>
      <c r="M574" s="164"/>
      <c r="N574" s="165"/>
      <c r="O574" s="52"/>
      <c r="P574" s="52"/>
      <c r="Q574" s="52"/>
      <c r="R574" s="52"/>
      <c r="S574" s="52"/>
      <c r="T574" s="53"/>
      <c r="U574" s="31"/>
      <c r="V574" s="31"/>
      <c r="W574" s="31"/>
      <c r="X574" s="31"/>
      <c r="Y574" s="31"/>
      <c r="Z574" s="31"/>
      <c r="AA574" s="31"/>
      <c r="AB574" s="31"/>
      <c r="AC574" s="31"/>
      <c r="AD574" s="31"/>
      <c r="AE574" s="31"/>
      <c r="AT574" s="19" t="s">
        <v>149</v>
      </c>
      <c r="AU574" s="19" t="s">
        <v>82</v>
      </c>
    </row>
    <row r="575" spans="1:65" s="13" customFormat="1">
      <c r="B575" s="149"/>
      <c r="D575" s="150" t="s">
        <v>145</v>
      </c>
      <c r="E575" s="151" t="s">
        <v>3</v>
      </c>
      <c r="F575" s="152" t="s">
        <v>1548</v>
      </c>
      <c r="H575" s="151" t="s">
        <v>3</v>
      </c>
      <c r="I575" s="282"/>
      <c r="L575" s="149"/>
      <c r="M575" s="153"/>
      <c r="N575" s="154"/>
      <c r="O575" s="154"/>
      <c r="P575" s="154"/>
      <c r="Q575" s="154"/>
      <c r="R575" s="154"/>
      <c r="S575" s="154"/>
      <c r="T575" s="155"/>
      <c r="AT575" s="151" t="s">
        <v>145</v>
      </c>
      <c r="AU575" s="151" t="s">
        <v>82</v>
      </c>
      <c r="AV575" s="13" t="s">
        <v>80</v>
      </c>
      <c r="AW575" s="13" t="s">
        <v>34</v>
      </c>
      <c r="AX575" s="13" t="s">
        <v>72</v>
      </c>
      <c r="AY575" s="151" t="s">
        <v>138</v>
      </c>
    </row>
    <row r="576" spans="1:65" s="14" customFormat="1" ht="22.5">
      <c r="B576" s="156"/>
      <c r="D576" s="150" t="s">
        <v>145</v>
      </c>
      <c r="E576" s="157" t="s">
        <v>3</v>
      </c>
      <c r="F576" s="158" t="s">
        <v>1551</v>
      </c>
      <c r="H576" s="159">
        <f>0.75*0.75*6+1.2*0.5*2+1.2*1.2*2+1.5*1.5*10+1.65*1.5*2+2.25*1.5+1.2*2.1</f>
        <v>40.800000000000004</v>
      </c>
      <c r="I576" s="280"/>
      <c r="L576" s="156"/>
      <c r="M576" s="160"/>
      <c r="N576" s="161"/>
      <c r="O576" s="161"/>
      <c r="P576" s="161"/>
      <c r="Q576" s="161"/>
      <c r="R576" s="161"/>
      <c r="S576" s="161"/>
      <c r="T576" s="162"/>
      <c r="AT576" s="157" t="s">
        <v>145</v>
      </c>
      <c r="AU576" s="157" t="s">
        <v>82</v>
      </c>
      <c r="AV576" s="14" t="s">
        <v>82</v>
      </c>
      <c r="AW576" s="14" t="s">
        <v>34</v>
      </c>
      <c r="AX576" s="14" t="s">
        <v>72</v>
      </c>
      <c r="AY576" s="157" t="s">
        <v>138</v>
      </c>
    </row>
    <row r="577" spans="1:65" s="13" customFormat="1">
      <c r="B577" s="149"/>
      <c r="D577" s="150" t="s">
        <v>145</v>
      </c>
      <c r="E577" s="151" t="s">
        <v>3</v>
      </c>
      <c r="F577" s="152" t="s">
        <v>1549</v>
      </c>
      <c r="H577" s="151" t="s">
        <v>3</v>
      </c>
      <c r="I577" s="282"/>
      <c r="L577" s="149"/>
      <c r="M577" s="153"/>
      <c r="N577" s="154"/>
      <c r="O577" s="154"/>
      <c r="P577" s="154"/>
      <c r="Q577" s="154"/>
      <c r="R577" s="154"/>
      <c r="S577" s="154"/>
      <c r="T577" s="155"/>
      <c r="AT577" s="151" t="s">
        <v>145</v>
      </c>
      <c r="AU577" s="151" t="s">
        <v>82</v>
      </c>
      <c r="AV577" s="13" t="s">
        <v>80</v>
      </c>
      <c r="AW577" s="13" t="s">
        <v>34</v>
      </c>
      <c r="AX577" s="13" t="s">
        <v>72</v>
      </c>
      <c r="AY577" s="151" t="s">
        <v>138</v>
      </c>
    </row>
    <row r="578" spans="1:65" s="14" customFormat="1">
      <c r="B578" s="156"/>
      <c r="D578" s="150" t="s">
        <v>145</v>
      </c>
      <c r="E578" s="157" t="s">
        <v>3</v>
      </c>
      <c r="F578" s="158" t="s">
        <v>1550</v>
      </c>
      <c r="H578" s="159">
        <f>1.07*2.46*2+0.98*2.01</f>
        <v>7.2341999999999995</v>
      </c>
      <c r="I578" s="280"/>
      <c r="L578" s="156"/>
      <c r="M578" s="160"/>
      <c r="N578" s="161"/>
      <c r="O578" s="161"/>
      <c r="P578" s="161"/>
      <c r="Q578" s="161"/>
      <c r="R578" s="161"/>
      <c r="S578" s="161"/>
      <c r="T578" s="162"/>
      <c r="AT578" s="157" t="s">
        <v>145</v>
      </c>
      <c r="AU578" s="157" t="s">
        <v>82</v>
      </c>
      <c r="AV578" s="14" t="s">
        <v>82</v>
      </c>
      <c r="AW578" s="14" t="s">
        <v>34</v>
      </c>
      <c r="AX578" s="14" t="s">
        <v>72</v>
      </c>
      <c r="AY578" s="157" t="s">
        <v>138</v>
      </c>
    </row>
    <row r="579" spans="1:65" s="15" customFormat="1">
      <c r="B579" s="166"/>
      <c r="D579" s="150" t="s">
        <v>145</v>
      </c>
      <c r="E579" s="167" t="s">
        <v>3</v>
      </c>
      <c r="F579" s="168" t="s">
        <v>151</v>
      </c>
      <c r="H579" s="169">
        <f>H576+H578</f>
        <v>48.034200000000006</v>
      </c>
      <c r="I579" s="284"/>
      <c r="L579" s="166"/>
      <c r="M579" s="170"/>
      <c r="N579" s="171"/>
      <c r="O579" s="171"/>
      <c r="P579" s="171"/>
      <c r="Q579" s="171"/>
      <c r="R579" s="171"/>
      <c r="S579" s="171"/>
      <c r="T579" s="172"/>
      <c r="AT579" s="167" t="s">
        <v>145</v>
      </c>
      <c r="AU579" s="167" t="s">
        <v>82</v>
      </c>
      <c r="AV579" s="15" t="s">
        <v>144</v>
      </c>
      <c r="AW579" s="15" t="s">
        <v>34</v>
      </c>
      <c r="AX579" s="15" t="s">
        <v>80</v>
      </c>
      <c r="AY579" s="167" t="s">
        <v>138</v>
      </c>
    </row>
    <row r="580" spans="1:65" s="2" customFormat="1" ht="14.45" customHeight="1">
      <c r="A580" s="31"/>
      <c r="B580" s="136"/>
      <c r="C580" s="173">
        <v>103</v>
      </c>
      <c r="D580" s="173" t="s">
        <v>164</v>
      </c>
      <c r="E580" s="174" t="s">
        <v>502</v>
      </c>
      <c r="F580" s="175" t="s">
        <v>503</v>
      </c>
      <c r="G580" s="176" t="s">
        <v>173</v>
      </c>
      <c r="H580" s="177">
        <v>69.486000000000004</v>
      </c>
      <c r="I580" s="281"/>
      <c r="J580" s="178">
        <f>ROUND(I580*H580,2)</f>
        <v>0</v>
      </c>
      <c r="K580" s="175" t="s">
        <v>148</v>
      </c>
      <c r="L580" s="179"/>
      <c r="M580" s="180" t="s">
        <v>3</v>
      </c>
      <c r="N580" s="181" t="s">
        <v>43</v>
      </c>
      <c r="O580" s="145">
        <v>0</v>
      </c>
      <c r="P580" s="145">
        <f>O580*H580</f>
        <v>0</v>
      </c>
      <c r="Q580" s="145">
        <v>0</v>
      </c>
      <c r="R580" s="145">
        <f>Q580*H580</f>
        <v>0</v>
      </c>
      <c r="S580" s="145">
        <v>0</v>
      </c>
      <c r="T580" s="146">
        <f>S580*H580</f>
        <v>0</v>
      </c>
      <c r="U580" s="31"/>
      <c r="V580" s="31"/>
      <c r="W580" s="31"/>
      <c r="X580" s="31"/>
      <c r="Y580" s="31"/>
      <c r="Z580" s="31"/>
      <c r="AA580" s="31"/>
      <c r="AB580" s="31"/>
      <c r="AC580" s="31"/>
      <c r="AD580" s="31"/>
      <c r="AE580" s="31"/>
      <c r="AR580" s="147" t="s">
        <v>224</v>
      </c>
      <c r="AT580" s="147" t="s">
        <v>164</v>
      </c>
      <c r="AU580" s="147" t="s">
        <v>82</v>
      </c>
      <c r="AY580" s="19" t="s">
        <v>138</v>
      </c>
      <c r="BE580" s="148">
        <f>IF(N580="základní",J580,0)</f>
        <v>0</v>
      </c>
      <c r="BF580" s="148">
        <f>IF(N580="snížená",J580,0)</f>
        <v>0</v>
      </c>
      <c r="BG580" s="148">
        <f>IF(N580="zákl. přenesená",J580,0)</f>
        <v>0</v>
      </c>
      <c r="BH580" s="148">
        <f>IF(N580="sníž. přenesená",J580,0)</f>
        <v>0</v>
      </c>
      <c r="BI580" s="148">
        <f>IF(N580="nulová",J580,0)</f>
        <v>0</v>
      </c>
      <c r="BJ580" s="19" t="s">
        <v>80</v>
      </c>
      <c r="BK580" s="148">
        <f>ROUND(I580*H580,2)</f>
        <v>0</v>
      </c>
      <c r="BL580" s="19" t="s">
        <v>200</v>
      </c>
      <c r="BM580" s="147" t="s">
        <v>508</v>
      </c>
    </row>
    <row r="581" spans="1:65" s="14" customFormat="1">
      <c r="B581" s="156"/>
      <c r="D581" s="150" t="s">
        <v>145</v>
      </c>
      <c r="F581" s="158" t="s">
        <v>1552</v>
      </c>
      <c r="H581" s="159">
        <f>H573*1.05</f>
        <v>50.435910000000007</v>
      </c>
      <c r="I581" s="280"/>
      <c r="L581" s="156"/>
      <c r="M581" s="160"/>
      <c r="N581" s="161"/>
      <c r="O581" s="161"/>
      <c r="P581" s="161"/>
      <c r="Q581" s="161"/>
      <c r="R581" s="161"/>
      <c r="S581" s="161"/>
      <c r="T581" s="162"/>
      <c r="AT581" s="157" t="s">
        <v>145</v>
      </c>
      <c r="AU581" s="157" t="s">
        <v>82</v>
      </c>
      <c r="AV581" s="14" t="s">
        <v>82</v>
      </c>
      <c r="AW581" s="14" t="s">
        <v>4</v>
      </c>
      <c r="AX581" s="14" t="s">
        <v>80</v>
      </c>
      <c r="AY581" s="157" t="s">
        <v>138</v>
      </c>
    </row>
    <row r="582" spans="1:65" s="2" customFormat="1" ht="24.2" customHeight="1">
      <c r="A582" s="31"/>
      <c r="B582" s="136"/>
      <c r="C582" s="137">
        <v>104</v>
      </c>
      <c r="D582" s="137" t="s">
        <v>141</v>
      </c>
      <c r="E582" s="138" t="s">
        <v>509</v>
      </c>
      <c r="F582" s="139" t="s">
        <v>510</v>
      </c>
      <c r="G582" s="140" t="s">
        <v>173</v>
      </c>
      <c r="H582" s="141">
        <f>H593</f>
        <v>839.18134000000009</v>
      </c>
      <c r="I582" s="278"/>
      <c r="J582" s="142">
        <f>ROUND(I582*H582,2)</f>
        <v>0</v>
      </c>
      <c r="K582" s="139" t="s">
        <v>148</v>
      </c>
      <c r="L582" s="32"/>
      <c r="M582" s="143" t="s">
        <v>3</v>
      </c>
      <c r="N582" s="144" t="s">
        <v>43</v>
      </c>
      <c r="O582" s="145">
        <v>1.2E-2</v>
      </c>
      <c r="P582" s="145">
        <f>O582*H582</f>
        <v>10.070176080000001</v>
      </c>
      <c r="Q582" s="145">
        <v>0</v>
      </c>
      <c r="R582" s="145">
        <f>Q582*H582</f>
        <v>0</v>
      </c>
      <c r="S582" s="145">
        <v>0</v>
      </c>
      <c r="T582" s="146">
        <f>S582*H582</f>
        <v>0</v>
      </c>
      <c r="U582" s="31"/>
      <c r="V582" s="31"/>
      <c r="W582" s="31"/>
      <c r="X582" s="31"/>
      <c r="Y582" s="31"/>
      <c r="Z582" s="31"/>
      <c r="AA582" s="31"/>
      <c r="AB582" s="31"/>
      <c r="AC582" s="31"/>
      <c r="AD582" s="31"/>
      <c r="AE582" s="31"/>
      <c r="AR582" s="147" t="s">
        <v>200</v>
      </c>
      <c r="AT582" s="147" t="s">
        <v>141</v>
      </c>
      <c r="AU582" s="147" t="s">
        <v>82</v>
      </c>
      <c r="AY582" s="19" t="s">
        <v>138</v>
      </c>
      <c r="BE582" s="148">
        <f>IF(N582="základní",J582,0)</f>
        <v>0</v>
      </c>
      <c r="BF582" s="148">
        <f>IF(N582="snížená",J582,0)</f>
        <v>0</v>
      </c>
      <c r="BG582" s="148">
        <f>IF(N582="zákl. přenesená",J582,0)</f>
        <v>0</v>
      </c>
      <c r="BH582" s="148">
        <f>IF(N582="sníž. přenesená",J582,0)</f>
        <v>0</v>
      </c>
      <c r="BI582" s="148">
        <f>IF(N582="nulová",J582,0)</f>
        <v>0</v>
      </c>
      <c r="BJ582" s="19" t="s">
        <v>80</v>
      </c>
      <c r="BK582" s="148">
        <f>ROUND(I582*H582,2)</f>
        <v>0</v>
      </c>
      <c r="BL582" s="19" t="s">
        <v>200</v>
      </c>
      <c r="BM582" s="147" t="s">
        <v>511</v>
      </c>
    </row>
    <row r="583" spans="1:65" s="13" customFormat="1">
      <c r="B583" s="149"/>
      <c r="D583" s="150" t="s">
        <v>145</v>
      </c>
      <c r="E583" s="151" t="s">
        <v>3</v>
      </c>
      <c r="F583" s="152" t="s">
        <v>198</v>
      </c>
      <c r="H583" s="151" t="s">
        <v>3</v>
      </c>
      <c r="I583" s="282"/>
      <c r="L583" s="149"/>
      <c r="M583" s="153"/>
      <c r="N583" s="154"/>
      <c r="O583" s="154"/>
      <c r="P583" s="154"/>
      <c r="Q583" s="154"/>
      <c r="R583" s="154"/>
      <c r="S583" s="154"/>
      <c r="T583" s="155"/>
      <c r="AT583" s="151" t="s">
        <v>145</v>
      </c>
      <c r="AU583" s="151" t="s">
        <v>82</v>
      </c>
      <c r="AV583" s="13" t="s">
        <v>80</v>
      </c>
      <c r="AW583" s="13" t="s">
        <v>34</v>
      </c>
      <c r="AX583" s="13" t="s">
        <v>72</v>
      </c>
      <c r="AY583" s="151" t="s">
        <v>138</v>
      </c>
    </row>
    <row r="584" spans="1:65" s="14" customFormat="1">
      <c r="B584" s="156"/>
      <c r="D584" s="150" t="s">
        <v>145</v>
      </c>
      <c r="E584" s="157" t="s">
        <v>3</v>
      </c>
      <c r="F584" s="158" t="s">
        <v>1553</v>
      </c>
      <c r="H584" s="159"/>
      <c r="I584" s="280"/>
      <c r="L584" s="156"/>
      <c r="M584" s="160"/>
      <c r="N584" s="161"/>
      <c r="O584" s="161"/>
      <c r="P584" s="161"/>
      <c r="Q584" s="161"/>
      <c r="R584" s="161"/>
      <c r="S584" s="161"/>
      <c r="T584" s="162"/>
      <c r="AT584" s="157" t="s">
        <v>145</v>
      </c>
      <c r="AU584" s="157" t="s">
        <v>82</v>
      </c>
      <c r="AV584" s="14" t="s">
        <v>82</v>
      </c>
      <c r="AW584" s="14" t="s">
        <v>34</v>
      </c>
      <c r="AX584" s="14" t="s">
        <v>72</v>
      </c>
      <c r="AY584" s="157" t="s">
        <v>138</v>
      </c>
    </row>
    <row r="585" spans="1:65" s="14" customFormat="1" ht="22.5">
      <c r="B585" s="156"/>
      <c r="D585" s="150"/>
      <c r="E585" s="157"/>
      <c r="F585" s="158" t="s">
        <v>1555</v>
      </c>
      <c r="H585" s="159">
        <f>(20.548+22.64+6.56+5.78+6.244+15.481+17.36+9.76+15.36+19.219+8.84)*2.72</f>
        <v>401.99424000000005</v>
      </c>
      <c r="I585" s="280"/>
      <c r="L585" s="156"/>
      <c r="M585" s="160"/>
      <c r="N585" s="307"/>
      <c r="O585" s="307"/>
      <c r="P585" s="307"/>
      <c r="Q585" s="307"/>
      <c r="R585" s="307"/>
      <c r="S585" s="307"/>
      <c r="T585" s="162"/>
      <c r="AT585" s="157"/>
      <c r="AU585" s="157"/>
      <c r="AY585" s="157"/>
    </row>
    <row r="586" spans="1:65" s="14" customFormat="1" ht="22.5">
      <c r="B586" s="156"/>
      <c r="D586" s="150"/>
      <c r="E586" s="157"/>
      <c r="F586" s="158" t="s">
        <v>1556</v>
      </c>
      <c r="H586" s="159">
        <f>(5.82+7.66+29.36+1.68+11.96+13.28+14.78+7.9+4.26+15.34+17.36+23.527+7.44+5.46+5.46)*2.7</f>
        <v>462.4749000000001</v>
      </c>
      <c r="I586" s="280"/>
      <c r="L586" s="156"/>
      <c r="M586" s="160"/>
      <c r="N586" s="307"/>
      <c r="O586" s="307"/>
      <c r="P586" s="307"/>
      <c r="Q586" s="307"/>
      <c r="R586" s="307"/>
      <c r="S586" s="307"/>
      <c r="T586" s="162"/>
      <c r="AT586" s="157"/>
      <c r="AU586" s="157"/>
      <c r="AY586" s="157"/>
    </row>
    <row r="587" spans="1:65" s="14" customFormat="1">
      <c r="B587" s="156"/>
      <c r="D587" s="150"/>
      <c r="E587" s="157"/>
      <c r="F587" s="158" t="s">
        <v>1554</v>
      </c>
      <c r="H587" s="159">
        <f>H567</f>
        <v>211.39</v>
      </c>
      <c r="I587" s="280"/>
      <c r="L587" s="156"/>
      <c r="M587" s="160"/>
      <c r="N587" s="307"/>
      <c r="O587" s="307"/>
      <c r="P587" s="307"/>
      <c r="Q587" s="307"/>
      <c r="R587" s="307"/>
      <c r="S587" s="307"/>
      <c r="T587" s="162"/>
      <c r="AT587" s="157"/>
      <c r="AU587" s="157"/>
      <c r="AY587" s="157"/>
    </row>
    <row r="588" spans="1:65" s="14" customFormat="1">
      <c r="B588" s="156"/>
      <c r="D588" s="150" t="s">
        <v>145</v>
      </c>
      <c r="E588" s="157" t="s">
        <v>3</v>
      </c>
      <c r="F588" s="158" t="s">
        <v>1297</v>
      </c>
      <c r="H588" s="159">
        <f>H268</f>
        <v>15.599999999999998</v>
      </c>
      <c r="I588" s="280"/>
      <c r="L588" s="156"/>
      <c r="M588" s="160"/>
      <c r="N588" s="161"/>
      <c r="O588" s="161"/>
      <c r="P588" s="161"/>
      <c r="Q588" s="161"/>
      <c r="R588" s="161"/>
      <c r="S588" s="161"/>
      <c r="T588" s="162"/>
      <c r="AT588" s="157" t="s">
        <v>145</v>
      </c>
      <c r="AU588" s="157" t="s">
        <v>82</v>
      </c>
      <c r="AV588" s="14" t="s">
        <v>82</v>
      </c>
      <c r="AW588" s="14" t="s">
        <v>34</v>
      </c>
      <c r="AX588" s="14" t="s">
        <v>72</v>
      </c>
      <c r="AY588" s="157" t="s">
        <v>138</v>
      </c>
    </row>
    <row r="589" spans="1:65" s="14" customFormat="1">
      <c r="B589" s="156"/>
      <c r="D589" s="150" t="s">
        <v>145</v>
      </c>
      <c r="E589" s="157" t="s">
        <v>3</v>
      </c>
      <c r="F589" s="158" t="s">
        <v>1560</v>
      </c>
      <c r="H589" s="159">
        <f>H484</f>
        <v>90.633599999999987</v>
      </c>
      <c r="I589" s="280"/>
      <c r="L589" s="156"/>
      <c r="M589" s="160"/>
      <c r="N589" s="161"/>
      <c r="O589" s="161"/>
      <c r="P589" s="161"/>
      <c r="Q589" s="161"/>
      <c r="R589" s="161"/>
      <c r="S589" s="161"/>
      <c r="T589" s="162"/>
      <c r="AT589" s="157" t="s">
        <v>145</v>
      </c>
      <c r="AU589" s="157" t="s">
        <v>82</v>
      </c>
      <c r="AV589" s="14" t="s">
        <v>82</v>
      </c>
      <c r="AW589" s="14" t="s">
        <v>34</v>
      </c>
      <c r="AX589" s="14" t="s">
        <v>72</v>
      </c>
      <c r="AY589" s="157" t="s">
        <v>138</v>
      </c>
    </row>
    <row r="590" spans="1:65" s="14" customFormat="1">
      <c r="B590" s="156"/>
      <c r="D590" s="150"/>
      <c r="E590" s="157"/>
      <c r="F590" s="158" t="s">
        <v>1557</v>
      </c>
      <c r="H590" s="159">
        <f>H573</f>
        <v>48.034200000000006</v>
      </c>
      <c r="I590" s="280"/>
      <c r="L590" s="156"/>
      <c r="M590" s="160"/>
      <c r="N590" s="307"/>
      <c r="O590" s="307"/>
      <c r="P590" s="307"/>
      <c r="Q590" s="307"/>
      <c r="R590" s="307"/>
      <c r="S590" s="307"/>
      <c r="T590" s="162"/>
      <c r="AT590" s="157"/>
      <c r="AU590" s="157"/>
      <c r="AY590" s="157"/>
    </row>
    <row r="591" spans="1:65" s="14" customFormat="1">
      <c r="B591" s="156"/>
      <c r="D591" s="150"/>
      <c r="E591" s="157"/>
      <c r="F591" s="158" t="s">
        <v>1558</v>
      </c>
      <c r="H591" s="159"/>
      <c r="I591" s="280"/>
      <c r="L591" s="156"/>
      <c r="M591" s="160"/>
      <c r="N591" s="307"/>
      <c r="O591" s="307"/>
      <c r="P591" s="307"/>
      <c r="Q591" s="307"/>
      <c r="R591" s="307"/>
      <c r="S591" s="307"/>
      <c r="T591" s="162"/>
      <c r="AT591" s="157"/>
      <c r="AU591" s="157"/>
      <c r="AY591" s="157"/>
    </row>
    <row r="592" spans="1:65" s="14" customFormat="1">
      <c r="B592" s="156"/>
      <c r="D592" s="150"/>
      <c r="E592" s="157"/>
      <c r="F592" s="158" t="s">
        <v>1559</v>
      </c>
      <c r="H592" s="159">
        <f>(0.68*2.01*5+0.78*2.01*7+0.88*2.01*11+0.98*2.01*2)*2</f>
        <v>82.41</v>
      </c>
      <c r="I592" s="280"/>
      <c r="L592" s="156"/>
      <c r="M592" s="160"/>
      <c r="N592" s="307"/>
      <c r="O592" s="307"/>
      <c r="P592" s="307"/>
      <c r="Q592" s="307"/>
      <c r="R592" s="307"/>
      <c r="S592" s="307"/>
      <c r="T592" s="162"/>
      <c r="AT592" s="157"/>
      <c r="AU592" s="157"/>
      <c r="AY592" s="157"/>
    </row>
    <row r="593" spans="1:65" s="15" customFormat="1">
      <c r="B593" s="166"/>
      <c r="D593" s="150" t="s">
        <v>145</v>
      </c>
      <c r="E593" s="167" t="s">
        <v>3</v>
      </c>
      <c r="F593" s="168" t="s">
        <v>151</v>
      </c>
      <c r="H593" s="169">
        <f>H585+H586+H587-H588-H590-H592-H589</f>
        <v>839.18134000000009</v>
      </c>
      <c r="I593" s="284"/>
      <c r="L593" s="166"/>
      <c r="M593" s="170"/>
      <c r="N593" s="171"/>
      <c r="O593" s="171"/>
      <c r="P593" s="171"/>
      <c r="Q593" s="171"/>
      <c r="R593" s="171"/>
      <c r="S593" s="171"/>
      <c r="T593" s="172"/>
      <c r="AT593" s="167" t="s">
        <v>145</v>
      </c>
      <c r="AU593" s="167" t="s">
        <v>82</v>
      </c>
      <c r="AV593" s="15" t="s">
        <v>144</v>
      </c>
      <c r="AW593" s="15" t="s">
        <v>34</v>
      </c>
      <c r="AX593" s="15" t="s">
        <v>80</v>
      </c>
      <c r="AY593" s="167" t="s">
        <v>138</v>
      </c>
    </row>
    <row r="594" spans="1:65" s="2" customFormat="1" ht="24.2" customHeight="1">
      <c r="A594" s="31"/>
      <c r="B594" s="136"/>
      <c r="C594" s="137">
        <v>105</v>
      </c>
      <c r="D594" s="137" t="s">
        <v>141</v>
      </c>
      <c r="E594" s="138" t="s">
        <v>512</v>
      </c>
      <c r="F594" s="139" t="s">
        <v>513</v>
      </c>
      <c r="G594" s="140" t="s">
        <v>173</v>
      </c>
      <c r="H594" s="141">
        <f>H582</f>
        <v>839.18134000000009</v>
      </c>
      <c r="I594" s="278"/>
      <c r="J594" s="142">
        <f>ROUND(I594*H594,2)</f>
        <v>0</v>
      </c>
      <c r="K594" s="139" t="s">
        <v>148</v>
      </c>
      <c r="L594" s="32"/>
      <c r="M594" s="143" t="s">
        <v>3</v>
      </c>
      <c r="N594" s="144" t="s">
        <v>43</v>
      </c>
      <c r="O594" s="145">
        <v>3.3000000000000002E-2</v>
      </c>
      <c r="P594" s="145">
        <f>O594*H594</f>
        <v>27.692984220000003</v>
      </c>
      <c r="Q594" s="145">
        <v>2.0000000000000001E-4</v>
      </c>
      <c r="R594" s="145">
        <f>Q594*H594</f>
        <v>0.16783626800000004</v>
      </c>
      <c r="S594" s="145">
        <v>0</v>
      </c>
      <c r="T594" s="146">
        <f>S594*H594</f>
        <v>0</v>
      </c>
      <c r="U594" s="31"/>
      <c r="V594" s="31"/>
      <c r="W594" s="31"/>
      <c r="X594" s="31"/>
      <c r="Y594" s="31"/>
      <c r="Z594" s="31"/>
      <c r="AA594" s="31"/>
      <c r="AB594" s="31"/>
      <c r="AC594" s="31"/>
      <c r="AD594" s="31"/>
      <c r="AE594" s="31"/>
      <c r="AR594" s="147" t="s">
        <v>200</v>
      </c>
      <c r="AT594" s="147" t="s">
        <v>141</v>
      </c>
      <c r="AU594" s="147" t="s">
        <v>82</v>
      </c>
      <c r="AY594" s="19" t="s">
        <v>138</v>
      </c>
      <c r="BE594" s="148">
        <f>IF(N594="základní",J594,0)</f>
        <v>0</v>
      </c>
      <c r="BF594" s="148">
        <f>IF(N594="snížená",J594,0)</f>
        <v>0</v>
      </c>
      <c r="BG594" s="148">
        <f>IF(N594="zákl. přenesená",J594,0)</f>
        <v>0</v>
      </c>
      <c r="BH594" s="148">
        <f>IF(N594="sníž. přenesená",J594,0)</f>
        <v>0</v>
      </c>
      <c r="BI594" s="148">
        <f>IF(N594="nulová",J594,0)</f>
        <v>0</v>
      </c>
      <c r="BJ594" s="19" t="s">
        <v>80</v>
      </c>
      <c r="BK594" s="148">
        <f>ROUND(I594*H594,2)</f>
        <v>0</v>
      </c>
      <c r="BL594" s="19" t="s">
        <v>200</v>
      </c>
      <c r="BM594" s="147" t="s">
        <v>514</v>
      </c>
    </row>
    <row r="595" spans="1:65" s="2" customFormat="1" ht="37.9" customHeight="1">
      <c r="A595" s="31"/>
      <c r="B595" s="136"/>
      <c r="C595" s="137">
        <v>106</v>
      </c>
      <c r="D595" s="137" t="s">
        <v>141</v>
      </c>
      <c r="E595" s="138" t="s">
        <v>515</v>
      </c>
      <c r="F595" s="139" t="s">
        <v>516</v>
      </c>
      <c r="G595" s="140" t="s">
        <v>173</v>
      </c>
      <c r="H595" s="141">
        <f>H582</f>
        <v>839.18134000000009</v>
      </c>
      <c r="I595" s="278"/>
      <c r="J595" s="142">
        <f>ROUND(I595*H595,2)</f>
        <v>0</v>
      </c>
      <c r="K595" s="139" t="s">
        <v>148</v>
      </c>
      <c r="L595" s="32"/>
      <c r="M595" s="143" t="s">
        <v>3</v>
      </c>
      <c r="N595" s="144" t="s">
        <v>43</v>
      </c>
      <c r="O595" s="145">
        <v>0.104</v>
      </c>
      <c r="P595" s="145">
        <f>O595*H595</f>
        <v>87.274859360000008</v>
      </c>
      <c r="Q595" s="145">
        <v>2.5999999999999998E-4</v>
      </c>
      <c r="R595" s="145">
        <f>Q595*H595</f>
        <v>0.2181871484</v>
      </c>
      <c r="S595" s="145">
        <v>0</v>
      </c>
      <c r="T595" s="146">
        <f>S595*H595</f>
        <v>0</v>
      </c>
      <c r="U595" s="31"/>
      <c r="V595" s="31"/>
      <c r="W595" s="31"/>
      <c r="X595" s="31"/>
      <c r="Y595" s="31"/>
      <c r="Z595" s="31"/>
      <c r="AA595" s="31"/>
      <c r="AB595" s="31"/>
      <c r="AC595" s="31"/>
      <c r="AD595" s="31"/>
      <c r="AE595" s="31"/>
      <c r="AR595" s="147" t="s">
        <v>200</v>
      </c>
      <c r="AT595" s="147" t="s">
        <v>141</v>
      </c>
      <c r="AU595" s="147" t="s">
        <v>82</v>
      </c>
      <c r="AY595" s="19" t="s">
        <v>138</v>
      </c>
      <c r="BE595" s="148">
        <f>IF(N595="základní",J595,0)</f>
        <v>0</v>
      </c>
      <c r="BF595" s="148">
        <f>IF(N595="snížená",J595,0)</f>
        <v>0</v>
      </c>
      <c r="BG595" s="148">
        <f>IF(N595="zákl. přenesená",J595,0)</f>
        <v>0</v>
      </c>
      <c r="BH595" s="148">
        <f>IF(N595="sníž. přenesená",J595,0)</f>
        <v>0</v>
      </c>
      <c r="BI595" s="148">
        <f>IF(N595="nulová",J595,0)</f>
        <v>0</v>
      </c>
      <c r="BJ595" s="19" t="s">
        <v>80</v>
      </c>
      <c r="BK595" s="148">
        <f>ROUND(I595*H595,2)</f>
        <v>0</v>
      </c>
      <c r="BL595" s="19" t="s">
        <v>200</v>
      </c>
      <c r="BM595" s="147" t="s">
        <v>517</v>
      </c>
    </row>
    <row r="596" spans="1:65" s="2" customFormat="1" ht="37.9" customHeight="1">
      <c r="A596" s="31"/>
      <c r="B596" s="136"/>
      <c r="C596" s="137">
        <v>107</v>
      </c>
      <c r="D596" s="137" t="s">
        <v>141</v>
      </c>
      <c r="E596" s="138" t="s">
        <v>518</v>
      </c>
      <c r="F596" s="139" t="s">
        <v>519</v>
      </c>
      <c r="G596" s="140" t="s">
        <v>173</v>
      </c>
      <c r="H596" s="141">
        <f>H573</f>
        <v>48.034200000000006</v>
      </c>
      <c r="I596" s="278"/>
      <c r="J596" s="142">
        <f>ROUND(I596*H596,2)</f>
        <v>0</v>
      </c>
      <c r="K596" s="139" t="s">
        <v>148</v>
      </c>
      <c r="L596" s="32"/>
      <c r="M596" s="143" t="s">
        <v>3</v>
      </c>
      <c r="N596" s="144" t="s">
        <v>43</v>
      </c>
      <c r="O596" s="145">
        <v>2.4E-2</v>
      </c>
      <c r="P596" s="145">
        <f>O596*H596</f>
        <v>1.1528208000000002</v>
      </c>
      <c r="Q596" s="145">
        <v>1.0000000000000001E-5</v>
      </c>
      <c r="R596" s="145">
        <f>Q596*H596</f>
        <v>4.8034200000000008E-4</v>
      </c>
      <c r="S596" s="145">
        <v>0</v>
      </c>
      <c r="T596" s="146">
        <f>S596*H596</f>
        <v>0</v>
      </c>
      <c r="U596" s="31"/>
      <c r="V596" s="31"/>
      <c r="W596" s="31"/>
      <c r="X596" s="31"/>
      <c r="Y596" s="31"/>
      <c r="Z596" s="31"/>
      <c r="AA596" s="31"/>
      <c r="AB596" s="31"/>
      <c r="AC596" s="31"/>
      <c r="AD596" s="31"/>
      <c r="AE596" s="31"/>
      <c r="AR596" s="147" t="s">
        <v>200</v>
      </c>
      <c r="AT596" s="147" t="s">
        <v>141</v>
      </c>
      <c r="AU596" s="147" t="s">
        <v>82</v>
      </c>
      <c r="AY596" s="19" t="s">
        <v>138</v>
      </c>
      <c r="BE596" s="148">
        <f>IF(N596="základní",J596,0)</f>
        <v>0</v>
      </c>
      <c r="BF596" s="148">
        <f>IF(N596="snížená",J596,0)</f>
        <v>0</v>
      </c>
      <c r="BG596" s="148">
        <f>IF(N596="zákl. přenesená",J596,0)</f>
        <v>0</v>
      </c>
      <c r="BH596" s="148">
        <f>IF(N596="sníž. přenesená",J596,0)</f>
        <v>0</v>
      </c>
      <c r="BI596" s="148">
        <f>IF(N596="nulová",J596,0)</f>
        <v>0</v>
      </c>
      <c r="BJ596" s="19" t="s">
        <v>80</v>
      </c>
      <c r="BK596" s="148">
        <f>ROUND(I596*H596,2)</f>
        <v>0</v>
      </c>
      <c r="BL596" s="19" t="s">
        <v>200</v>
      </c>
      <c r="BM596" s="147" t="s">
        <v>520</v>
      </c>
    </row>
    <row r="597" spans="1:65" s="13" customFormat="1">
      <c r="B597" s="149"/>
      <c r="D597" s="150" t="s">
        <v>145</v>
      </c>
      <c r="E597" s="151" t="s">
        <v>3</v>
      </c>
      <c r="F597" s="152" t="s">
        <v>1561</v>
      </c>
      <c r="H597" s="151" t="s">
        <v>3</v>
      </c>
      <c r="I597" s="282"/>
      <c r="L597" s="149"/>
      <c r="M597" s="153"/>
      <c r="N597" s="154"/>
      <c r="O597" s="154"/>
      <c r="P597" s="154"/>
      <c r="Q597" s="154"/>
      <c r="R597" s="154"/>
      <c r="S597" s="154"/>
      <c r="T597" s="155"/>
      <c r="AT597" s="151" t="s">
        <v>145</v>
      </c>
      <c r="AU597" s="151" t="s">
        <v>82</v>
      </c>
      <c r="AV597" s="13" t="s">
        <v>80</v>
      </c>
      <c r="AW597" s="13" t="s">
        <v>34</v>
      </c>
      <c r="AX597" s="13" t="s">
        <v>72</v>
      </c>
      <c r="AY597" s="151" t="s">
        <v>138</v>
      </c>
    </row>
    <row r="598" spans="1:65" s="2" customFormat="1" ht="24.2" customHeight="1">
      <c r="A598" s="31"/>
      <c r="B598" s="136"/>
      <c r="C598" s="137">
        <v>108</v>
      </c>
      <c r="D598" s="137" t="s">
        <v>141</v>
      </c>
      <c r="E598" s="138" t="s">
        <v>521</v>
      </c>
      <c r="F598" s="139" t="s">
        <v>522</v>
      </c>
      <c r="G598" s="140" t="s">
        <v>173</v>
      </c>
      <c r="H598" s="141">
        <f>H567</f>
        <v>211.39</v>
      </c>
      <c r="I598" s="278"/>
      <c r="J598" s="142">
        <f>ROUND(I598*H598,2)</f>
        <v>0</v>
      </c>
      <c r="K598" s="139" t="s">
        <v>148</v>
      </c>
      <c r="L598" s="32"/>
      <c r="M598" s="143" t="s">
        <v>3</v>
      </c>
      <c r="N598" s="144" t="s">
        <v>43</v>
      </c>
      <c r="O598" s="145">
        <v>5.0000000000000001E-3</v>
      </c>
      <c r="P598" s="145">
        <f>O598*H598</f>
        <v>1.0569500000000001</v>
      </c>
      <c r="Q598" s="145">
        <v>1.0000000000000001E-5</v>
      </c>
      <c r="R598" s="145">
        <f>Q598*H598</f>
        <v>2.1139000000000002E-3</v>
      </c>
      <c r="S598" s="145">
        <v>0</v>
      </c>
      <c r="T598" s="146">
        <f>S598*H598</f>
        <v>0</v>
      </c>
      <c r="U598" s="31"/>
      <c r="V598" s="31"/>
      <c r="W598" s="31"/>
      <c r="X598" s="31"/>
      <c r="Y598" s="31"/>
      <c r="Z598" s="31"/>
      <c r="AA598" s="31"/>
      <c r="AB598" s="31"/>
      <c r="AC598" s="31"/>
      <c r="AD598" s="31"/>
      <c r="AE598" s="31"/>
      <c r="AR598" s="147" t="s">
        <v>200</v>
      </c>
      <c r="AT598" s="147" t="s">
        <v>141</v>
      </c>
      <c r="AU598" s="147" t="s">
        <v>82</v>
      </c>
      <c r="AY598" s="19" t="s">
        <v>138</v>
      </c>
      <c r="BE598" s="148">
        <f>IF(N598="základní",J598,0)</f>
        <v>0</v>
      </c>
      <c r="BF598" s="148">
        <f>IF(N598="snížená",J598,0)</f>
        <v>0</v>
      </c>
      <c r="BG598" s="148">
        <f>IF(N598="zákl. přenesená",J598,0)</f>
        <v>0</v>
      </c>
      <c r="BH598" s="148">
        <f>IF(N598="sníž. přenesená",J598,0)</f>
        <v>0</v>
      </c>
      <c r="BI598" s="148">
        <f>IF(N598="nulová",J598,0)</f>
        <v>0</v>
      </c>
      <c r="BJ598" s="19" t="s">
        <v>80</v>
      </c>
      <c r="BK598" s="148">
        <f>ROUND(I598*H598,2)</f>
        <v>0</v>
      </c>
      <c r="BL598" s="19" t="s">
        <v>200</v>
      </c>
      <c r="BM598" s="147" t="s">
        <v>523</v>
      </c>
    </row>
    <row r="599" spans="1:65" s="13" customFormat="1">
      <c r="B599" s="149"/>
      <c r="D599" s="150" t="s">
        <v>145</v>
      </c>
      <c r="E599" s="151" t="s">
        <v>3</v>
      </c>
      <c r="F599" s="152" t="s">
        <v>198</v>
      </c>
      <c r="H599" s="151" t="s">
        <v>3</v>
      </c>
      <c r="I599" s="282"/>
      <c r="L599" s="149"/>
      <c r="M599" s="153"/>
      <c r="N599" s="154"/>
      <c r="O599" s="154"/>
      <c r="P599" s="154"/>
      <c r="Q599" s="154"/>
      <c r="R599" s="154"/>
      <c r="S599" s="154"/>
      <c r="T599" s="155"/>
      <c r="AT599" s="151" t="s">
        <v>145</v>
      </c>
      <c r="AU599" s="151" t="s">
        <v>82</v>
      </c>
      <c r="AV599" s="13" t="s">
        <v>80</v>
      </c>
      <c r="AW599" s="13" t="s">
        <v>34</v>
      </c>
      <c r="AX599" s="13" t="s">
        <v>72</v>
      </c>
      <c r="AY599" s="151" t="s">
        <v>138</v>
      </c>
    </row>
    <row r="600" spans="1:65" s="2" customFormat="1" ht="6.95" customHeight="1">
      <c r="A600" s="31"/>
      <c r="B600" s="41"/>
      <c r="C600" s="42"/>
      <c r="D600" s="42"/>
      <c r="E600" s="42"/>
      <c r="F600" s="42"/>
      <c r="G600" s="42"/>
      <c r="H600" s="42"/>
      <c r="I600" s="42"/>
      <c r="J600" s="42"/>
      <c r="K600" s="42"/>
      <c r="L600" s="32"/>
      <c r="M600" s="31"/>
      <c r="O600" s="31"/>
      <c r="P600" s="31"/>
      <c r="Q600" s="31"/>
      <c r="R600" s="31"/>
      <c r="S600" s="31"/>
      <c r="T600" s="31"/>
      <c r="U600" s="31"/>
      <c r="V600" s="31"/>
      <c r="W600" s="31"/>
      <c r="X600" s="31"/>
      <c r="Y600" s="31"/>
      <c r="Z600" s="31"/>
      <c r="AA600" s="31"/>
      <c r="AB600" s="31"/>
      <c r="AC600" s="31"/>
      <c r="AD600" s="31"/>
      <c r="AE600" s="31"/>
    </row>
  </sheetData>
  <autoFilter ref="C92:K599" xr:uid="{00000000-0009-0000-0000-000001000000}"/>
  <mergeCells count="9">
    <mergeCell ref="E50:H50"/>
    <mergeCell ref="E83:H83"/>
    <mergeCell ref="E85:H85"/>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horizontalDpi="4294967293" verticalDpi="4294967293" r:id="rId1"/>
  <headerFooter>
    <oddFooter>&amp;CStrana &amp;P z &amp;N</oddFooter>
  </headerFooter>
  <rowBreaks count="9" manualBreakCount="9">
    <brk id="138" min="2" max="10" man="1"/>
    <brk id="179" min="2" max="10" man="1"/>
    <brk id="243" min="2" max="10" man="1"/>
    <brk id="362" min="2" max="10" man="1"/>
    <brk id="413" min="2" max="10" man="1"/>
    <brk id="455" min="2" max="10" man="1"/>
    <brk id="459" min="2" max="10" man="1"/>
    <brk id="514" min="2" max="10" man="1"/>
    <brk id="556"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321"/>
  <sheetViews>
    <sheetView showGridLines="0" view="pageBreakPreview" topLeftCell="A83" zoomScale="80" zoomScaleSheetLayoutView="80" workbookViewId="0">
      <selection activeCell="I97" sqref="I97:I32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52" t="s">
        <v>6</v>
      </c>
      <c r="M2" s="346"/>
      <c r="N2" s="346"/>
      <c r="O2" s="346"/>
      <c r="P2" s="346"/>
      <c r="Q2" s="346"/>
      <c r="R2" s="346"/>
      <c r="S2" s="346"/>
      <c r="T2" s="346"/>
      <c r="U2" s="346"/>
      <c r="V2" s="346"/>
      <c r="AT2" s="19" t="s">
        <v>85</v>
      </c>
    </row>
    <row r="3" spans="1:46" s="1" customFormat="1" ht="6.95" customHeight="1">
      <c r="B3" s="20"/>
      <c r="C3" s="21"/>
      <c r="D3" s="21"/>
      <c r="E3" s="21"/>
      <c r="F3" s="21"/>
      <c r="G3" s="21"/>
      <c r="H3" s="21"/>
      <c r="I3" s="21"/>
      <c r="J3" s="21"/>
      <c r="K3" s="21"/>
      <c r="L3" s="22"/>
      <c r="AT3" s="19" t="s">
        <v>82</v>
      </c>
    </row>
    <row r="4" spans="1:46" s="1" customFormat="1" ht="24.95" customHeight="1">
      <c r="B4" s="22"/>
      <c r="D4" s="23" t="s">
        <v>101</v>
      </c>
      <c r="L4" s="22"/>
      <c r="M4" s="88" t="s">
        <v>11</v>
      </c>
      <c r="AT4" s="19" t="s">
        <v>4</v>
      </c>
    </row>
    <row r="5" spans="1:46" s="1" customFormat="1" ht="6.95" customHeight="1">
      <c r="B5" s="22"/>
      <c r="L5" s="22"/>
    </row>
    <row r="6" spans="1:46" s="1" customFormat="1" ht="12" customHeight="1">
      <c r="B6" s="22"/>
      <c r="D6" s="28" t="s">
        <v>14</v>
      </c>
      <c r="L6" s="22"/>
    </row>
    <row r="7" spans="1:46" s="1" customFormat="1" ht="23.25" customHeight="1">
      <c r="B7" s="22"/>
      <c r="E7" s="358" t="str">
        <f>'Rekapitulace stavby'!K6</f>
        <v>Rekonstrukce objektu vrátnice a areálu Nemocnice Nymburk s.r.o. , objekt na č.parc. 323, k.ú. Nymburk</v>
      </c>
      <c r="F7" s="359"/>
      <c r="G7" s="359"/>
      <c r="H7" s="359"/>
      <c r="L7" s="22"/>
    </row>
    <row r="8" spans="1:46" s="2" customFormat="1" ht="12" customHeight="1">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4" t="s">
        <v>524</v>
      </c>
      <c r="F9" s="357"/>
      <c r="G9" s="357"/>
      <c r="H9" s="357"/>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45" t="str">
        <f>'Rekapitulace stavby'!E14</f>
        <v xml:space="preserve"> </v>
      </c>
      <c r="F18" s="345"/>
      <c r="G18" s="345"/>
      <c r="H18" s="345"/>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48" t="s">
        <v>37</v>
      </c>
      <c r="F27" s="348"/>
      <c r="G27" s="348"/>
      <c r="H27" s="348"/>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38</v>
      </c>
      <c r="E30" s="31"/>
      <c r="F30" s="31"/>
      <c r="G30" s="31"/>
      <c r="H30" s="31"/>
      <c r="I30" s="31"/>
      <c r="J30" s="65">
        <f>ROUND(J94,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42</v>
      </c>
      <c r="E33" s="28" t="s">
        <v>43</v>
      </c>
      <c r="F33" s="95">
        <f>ROUND((SUM(BE94:BE320)),  2)</f>
        <v>0</v>
      </c>
      <c r="G33" s="31"/>
      <c r="H33" s="31"/>
      <c r="I33" s="96">
        <v>0.21</v>
      </c>
      <c r="J33" s="95">
        <f>ROUND(((SUM(BE94:BE320))*I33),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44</v>
      </c>
      <c r="F34" s="95">
        <f>ROUND((SUM(BF94:BF320)),  2)</f>
        <v>0</v>
      </c>
      <c r="G34" s="31"/>
      <c r="H34" s="31"/>
      <c r="I34" s="96">
        <v>0.15</v>
      </c>
      <c r="J34" s="95">
        <f>ROUND(((SUM(BF94:BF320))*I34),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45</v>
      </c>
      <c r="F35" s="95">
        <f>ROUND((SUM(BG94:BG320)),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46</v>
      </c>
      <c r="F36" s="95">
        <f>ROUND((SUM(BH94:BH320)),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47</v>
      </c>
      <c r="F37" s="95">
        <f>ROUND((SUM(BI94:BI320)),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58" t="str">
        <f>E7</f>
        <v>Rekonstrukce objektu vrátnice a areálu Nemocnice Nymburk s.r.o. , objekt na č.parc. 323, k.ú. Nymburk</v>
      </c>
      <c r="F48" s="359"/>
      <c r="G48" s="359"/>
      <c r="H48" s="359"/>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4" t="str">
        <f>E9</f>
        <v>02 - Zdravotechnika</v>
      </c>
      <c r="F50" s="357"/>
      <c r="G50" s="357"/>
      <c r="H50" s="357"/>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28</v>
      </c>
      <c r="D55" s="31"/>
      <c r="E55" s="31"/>
      <c r="F55" s="26" t="str">
        <f>IF(E18="","",E18)</f>
        <v xml:space="preserve"> </v>
      </c>
      <c r="G55" s="31"/>
      <c r="H55" s="31"/>
      <c r="I55" s="28" t="s">
        <v>35</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70</v>
      </c>
      <c r="D59" s="31"/>
      <c r="E59" s="31"/>
      <c r="F59" s="31"/>
      <c r="G59" s="31"/>
      <c r="H59" s="31"/>
      <c r="I59" s="31"/>
      <c r="J59" s="65">
        <f>J94</f>
        <v>0</v>
      </c>
      <c r="K59" s="31"/>
      <c r="L59" s="89"/>
      <c r="S59" s="31"/>
      <c r="T59" s="31"/>
      <c r="U59" s="31"/>
      <c r="V59" s="31"/>
      <c r="W59" s="31"/>
      <c r="X59" s="31"/>
      <c r="Y59" s="31"/>
      <c r="Z59" s="31"/>
      <c r="AA59" s="31"/>
      <c r="AB59" s="31"/>
      <c r="AC59" s="31"/>
      <c r="AD59" s="31"/>
      <c r="AE59" s="31"/>
      <c r="AU59" s="19" t="s">
        <v>107</v>
      </c>
    </row>
    <row r="60" spans="1:47" s="9" customFormat="1" ht="24.95" customHeight="1">
      <c r="B60" s="106"/>
      <c r="D60" s="107" t="s">
        <v>108</v>
      </c>
      <c r="E60" s="108"/>
      <c r="F60" s="108"/>
      <c r="G60" s="108"/>
      <c r="H60" s="108"/>
      <c r="I60" s="108"/>
      <c r="J60" s="109">
        <f>J95</f>
        <v>0</v>
      </c>
      <c r="L60" s="106"/>
    </row>
    <row r="61" spans="1:47" s="10" customFormat="1" ht="19.899999999999999" customHeight="1">
      <c r="B61" s="110"/>
      <c r="D61" s="111" t="s">
        <v>109</v>
      </c>
      <c r="E61" s="112"/>
      <c r="F61" s="112"/>
      <c r="G61" s="112"/>
      <c r="H61" s="112"/>
      <c r="I61" s="112"/>
      <c r="J61" s="113">
        <f>J96</f>
        <v>0</v>
      </c>
      <c r="L61" s="110"/>
    </row>
    <row r="62" spans="1:47" s="10" customFormat="1" ht="19.899999999999999" customHeight="1">
      <c r="B62" s="110"/>
      <c r="D62" s="111" t="s">
        <v>525</v>
      </c>
      <c r="E62" s="112"/>
      <c r="F62" s="112"/>
      <c r="G62" s="112"/>
      <c r="H62" s="112"/>
      <c r="I62" s="112"/>
      <c r="J62" s="113">
        <f>J110</f>
        <v>0</v>
      </c>
      <c r="L62" s="110"/>
    </row>
    <row r="63" spans="1:47" s="10" customFormat="1" ht="19.899999999999999" customHeight="1">
      <c r="B63" s="110"/>
      <c r="D63" s="111" t="s">
        <v>110</v>
      </c>
      <c r="E63" s="112"/>
      <c r="F63" s="112"/>
      <c r="G63" s="112"/>
      <c r="H63" s="112"/>
      <c r="I63" s="112"/>
      <c r="J63" s="113">
        <f>J114</f>
        <v>0</v>
      </c>
      <c r="L63" s="110"/>
    </row>
    <row r="64" spans="1:47" s="10" customFormat="1" ht="19.899999999999999" customHeight="1">
      <c r="B64" s="110"/>
      <c r="D64" s="111" t="s">
        <v>111</v>
      </c>
      <c r="E64" s="112"/>
      <c r="F64" s="112"/>
      <c r="G64" s="112"/>
      <c r="H64" s="112"/>
      <c r="I64" s="112"/>
      <c r="J64" s="113">
        <f>J123</f>
        <v>0</v>
      </c>
      <c r="L64" s="110"/>
    </row>
    <row r="65" spans="1:31" s="10" customFormat="1" ht="19.899999999999999" customHeight="1">
      <c r="B65" s="110"/>
      <c r="D65" s="111" t="s">
        <v>112</v>
      </c>
      <c r="E65" s="112"/>
      <c r="F65" s="112"/>
      <c r="G65" s="112"/>
      <c r="H65" s="112"/>
      <c r="I65" s="112"/>
      <c r="J65" s="113">
        <f>J139</f>
        <v>0</v>
      </c>
      <c r="L65" s="110"/>
    </row>
    <row r="66" spans="1:31" s="10" customFormat="1" ht="19.899999999999999" customHeight="1">
      <c r="B66" s="110"/>
      <c r="D66" s="111" t="s">
        <v>113</v>
      </c>
      <c r="E66" s="112"/>
      <c r="F66" s="112"/>
      <c r="G66" s="112"/>
      <c r="H66" s="112"/>
      <c r="I66" s="112"/>
      <c r="J66" s="113">
        <f>J153</f>
        <v>0</v>
      </c>
      <c r="L66" s="110"/>
    </row>
    <row r="67" spans="1:31" s="9" customFormat="1" ht="24.95" customHeight="1">
      <c r="B67" s="106"/>
      <c r="D67" s="107" t="s">
        <v>114</v>
      </c>
      <c r="E67" s="108"/>
      <c r="F67" s="108"/>
      <c r="G67" s="108"/>
      <c r="H67" s="108"/>
      <c r="I67" s="108"/>
      <c r="J67" s="109">
        <f>J156</f>
        <v>0</v>
      </c>
      <c r="L67" s="106"/>
    </row>
    <row r="68" spans="1:31" s="10" customFormat="1" ht="19.899999999999999" customHeight="1">
      <c r="B68" s="110"/>
      <c r="D68" s="111" t="s">
        <v>526</v>
      </c>
      <c r="E68" s="112"/>
      <c r="F68" s="112"/>
      <c r="G68" s="112"/>
      <c r="H68" s="112"/>
      <c r="I68" s="112"/>
      <c r="J68" s="113">
        <f>J157</f>
        <v>0</v>
      </c>
      <c r="L68" s="110"/>
    </row>
    <row r="69" spans="1:31" s="10" customFormat="1" ht="19.899999999999999" customHeight="1">
      <c r="B69" s="110"/>
      <c r="D69" s="111" t="s">
        <v>527</v>
      </c>
      <c r="E69" s="112"/>
      <c r="F69" s="112"/>
      <c r="G69" s="112"/>
      <c r="H69" s="112"/>
      <c r="I69" s="112"/>
      <c r="J69" s="113">
        <f>J189</f>
        <v>0</v>
      </c>
      <c r="L69" s="110"/>
    </row>
    <row r="70" spans="1:31" s="10" customFormat="1" ht="19.899999999999999" customHeight="1">
      <c r="B70" s="110"/>
      <c r="D70" s="111" t="s">
        <v>528</v>
      </c>
      <c r="E70" s="112"/>
      <c r="F70" s="112"/>
      <c r="G70" s="112"/>
      <c r="H70" s="112"/>
      <c r="I70" s="112"/>
      <c r="J70" s="113">
        <f>J222</f>
        <v>0</v>
      </c>
      <c r="L70" s="110"/>
    </row>
    <row r="71" spans="1:31" s="10" customFormat="1" ht="19.899999999999999" customHeight="1">
      <c r="B71" s="110"/>
      <c r="D71" s="111" t="s">
        <v>529</v>
      </c>
      <c r="E71" s="112"/>
      <c r="F71" s="112"/>
      <c r="G71" s="112"/>
      <c r="H71" s="112"/>
      <c r="I71" s="112"/>
      <c r="J71" s="113">
        <f>J301</f>
        <v>0</v>
      </c>
      <c r="L71" s="110"/>
    </row>
    <row r="72" spans="1:31" s="9" customFormat="1" ht="24.95" customHeight="1">
      <c r="B72" s="106"/>
      <c r="D72" s="107" t="s">
        <v>530</v>
      </c>
      <c r="E72" s="108"/>
      <c r="F72" s="108"/>
      <c r="G72" s="108"/>
      <c r="H72" s="108"/>
      <c r="I72" s="108"/>
      <c r="J72" s="109">
        <f>J314</f>
        <v>0</v>
      </c>
      <c r="L72" s="106"/>
    </row>
    <row r="73" spans="1:31" s="9" customFormat="1" ht="24.95" customHeight="1">
      <c r="B73" s="106"/>
      <c r="D73" s="107" t="s">
        <v>531</v>
      </c>
      <c r="E73" s="108"/>
      <c r="F73" s="108"/>
      <c r="G73" s="108"/>
      <c r="H73" s="108"/>
      <c r="I73" s="108"/>
      <c r="J73" s="109">
        <f>J317</f>
        <v>0</v>
      </c>
      <c r="L73" s="106"/>
    </row>
    <row r="74" spans="1:31" s="10" customFormat="1" ht="19.899999999999999" customHeight="1">
      <c r="B74" s="110"/>
      <c r="D74" s="111" t="s">
        <v>532</v>
      </c>
      <c r="E74" s="112"/>
      <c r="F74" s="112"/>
      <c r="G74" s="112"/>
      <c r="H74" s="112"/>
      <c r="I74" s="112"/>
      <c r="J74" s="113">
        <f>J318</f>
        <v>0</v>
      </c>
      <c r="L74" s="110"/>
    </row>
    <row r="75" spans="1:31" s="2" customFormat="1" ht="21.75" customHeight="1">
      <c r="A75" s="31"/>
      <c r="B75" s="32"/>
      <c r="C75" s="31"/>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6.95" customHeight="1">
      <c r="A76" s="31"/>
      <c r="B76" s="41"/>
      <c r="C76" s="42"/>
      <c r="D76" s="42"/>
      <c r="E76" s="42"/>
      <c r="F76" s="42"/>
      <c r="G76" s="42"/>
      <c r="H76" s="42"/>
      <c r="I76" s="42"/>
      <c r="J76" s="42"/>
      <c r="K76" s="42"/>
      <c r="L76" s="89"/>
      <c r="S76" s="31"/>
      <c r="T76" s="31"/>
      <c r="U76" s="31"/>
      <c r="V76" s="31"/>
      <c r="W76" s="31"/>
      <c r="X76" s="31"/>
      <c r="Y76" s="31"/>
      <c r="Z76" s="31"/>
      <c r="AA76" s="31"/>
      <c r="AB76" s="31"/>
      <c r="AC76" s="31"/>
      <c r="AD76" s="31"/>
      <c r="AE76" s="31"/>
    </row>
    <row r="80" spans="1:31" s="2" customFormat="1" ht="6.95" customHeight="1">
      <c r="A80" s="31"/>
      <c r="B80" s="43"/>
      <c r="C80" s="44"/>
      <c r="D80" s="44"/>
      <c r="E80" s="44"/>
      <c r="F80" s="44"/>
      <c r="G80" s="44"/>
      <c r="H80" s="44"/>
      <c r="I80" s="44"/>
      <c r="J80" s="44"/>
      <c r="K80" s="44"/>
      <c r="L80" s="89"/>
      <c r="S80" s="31"/>
      <c r="T80" s="31"/>
      <c r="U80" s="31"/>
      <c r="V80" s="31"/>
      <c r="W80" s="31"/>
      <c r="X80" s="31"/>
      <c r="Y80" s="31"/>
      <c r="Z80" s="31"/>
      <c r="AA80" s="31"/>
      <c r="AB80" s="31"/>
      <c r="AC80" s="31"/>
      <c r="AD80" s="31"/>
      <c r="AE80" s="31"/>
    </row>
    <row r="81" spans="1:63" s="2" customFormat="1" ht="24.95" customHeight="1">
      <c r="A81" s="31"/>
      <c r="B81" s="32"/>
      <c r="C81" s="23" t="s">
        <v>123</v>
      </c>
      <c r="D81" s="31"/>
      <c r="E81" s="31"/>
      <c r="F81" s="31"/>
      <c r="G81" s="31"/>
      <c r="H81" s="31"/>
      <c r="I81" s="31"/>
      <c r="J81" s="31"/>
      <c r="K81" s="31"/>
      <c r="L81" s="89"/>
      <c r="S81" s="31"/>
      <c r="T81" s="31"/>
      <c r="U81" s="31"/>
      <c r="V81" s="31"/>
      <c r="W81" s="31"/>
      <c r="X81" s="31"/>
      <c r="Y81" s="31"/>
      <c r="Z81" s="31"/>
      <c r="AA81" s="31"/>
      <c r="AB81" s="31"/>
      <c r="AC81" s="31"/>
      <c r="AD81" s="31"/>
      <c r="AE81" s="31"/>
    </row>
    <row r="82" spans="1:63" s="2" customFormat="1" ht="6.95" customHeight="1">
      <c r="A82" s="31"/>
      <c r="B82" s="32"/>
      <c r="C82" s="31"/>
      <c r="D82" s="31"/>
      <c r="E82" s="31"/>
      <c r="F82" s="31"/>
      <c r="G82" s="31"/>
      <c r="H82" s="31"/>
      <c r="I82" s="31"/>
      <c r="J82" s="31"/>
      <c r="K82" s="31"/>
      <c r="L82" s="89"/>
      <c r="S82" s="31"/>
      <c r="T82" s="31"/>
      <c r="U82" s="31"/>
      <c r="V82" s="31"/>
      <c r="W82" s="31"/>
      <c r="X82" s="31"/>
      <c r="Y82" s="31"/>
      <c r="Z82" s="31"/>
      <c r="AA82" s="31"/>
      <c r="AB82" s="31"/>
      <c r="AC82" s="31"/>
      <c r="AD82" s="31"/>
      <c r="AE82" s="31"/>
    </row>
    <row r="83" spans="1:63" s="2" customFormat="1" ht="12" customHeight="1">
      <c r="A83" s="31"/>
      <c r="B83" s="32"/>
      <c r="C83" s="28" t="s">
        <v>14</v>
      </c>
      <c r="D83" s="31"/>
      <c r="E83" s="31"/>
      <c r="F83" s="31"/>
      <c r="G83" s="31"/>
      <c r="H83" s="31"/>
      <c r="I83" s="31"/>
      <c r="J83" s="31"/>
      <c r="K83" s="31"/>
      <c r="L83" s="89"/>
      <c r="S83" s="31"/>
      <c r="T83" s="31"/>
      <c r="U83" s="31"/>
      <c r="V83" s="31"/>
      <c r="W83" s="31"/>
      <c r="X83" s="31"/>
      <c r="Y83" s="31"/>
      <c r="Z83" s="31"/>
      <c r="AA83" s="31"/>
      <c r="AB83" s="31"/>
      <c r="AC83" s="31"/>
      <c r="AD83" s="31"/>
      <c r="AE83" s="31"/>
    </row>
    <row r="84" spans="1:63" s="2" customFormat="1" ht="23.25" customHeight="1">
      <c r="A84" s="31"/>
      <c r="B84" s="32"/>
      <c r="C84" s="31"/>
      <c r="D84" s="31"/>
      <c r="E84" s="358" t="str">
        <f>E7</f>
        <v>Rekonstrukce objektu vrátnice a areálu Nemocnice Nymburk s.r.o. , objekt na č.parc. 323, k.ú. Nymburk</v>
      </c>
      <c r="F84" s="359"/>
      <c r="G84" s="359"/>
      <c r="H84" s="359"/>
      <c r="I84" s="31"/>
      <c r="J84" s="31"/>
      <c r="K84" s="31"/>
      <c r="L84" s="89"/>
      <c r="S84" s="31"/>
      <c r="T84" s="31"/>
      <c r="U84" s="31"/>
      <c r="V84" s="31"/>
      <c r="W84" s="31"/>
      <c r="X84" s="31"/>
      <c r="Y84" s="31"/>
      <c r="Z84" s="31"/>
      <c r="AA84" s="31"/>
      <c r="AB84" s="31"/>
      <c r="AC84" s="31"/>
      <c r="AD84" s="31"/>
      <c r="AE84" s="31"/>
    </row>
    <row r="85" spans="1:63" s="2" customFormat="1" ht="12" customHeight="1">
      <c r="A85" s="31"/>
      <c r="B85" s="32"/>
      <c r="C85" s="28" t="s">
        <v>102</v>
      </c>
      <c r="D85" s="31"/>
      <c r="E85" s="31"/>
      <c r="F85" s="31"/>
      <c r="G85" s="31"/>
      <c r="H85" s="31"/>
      <c r="I85" s="31"/>
      <c r="J85" s="31"/>
      <c r="K85" s="31"/>
      <c r="L85" s="89"/>
      <c r="S85" s="31"/>
      <c r="T85" s="31"/>
      <c r="U85" s="31"/>
      <c r="V85" s="31"/>
      <c r="W85" s="31"/>
      <c r="X85" s="31"/>
      <c r="Y85" s="31"/>
      <c r="Z85" s="31"/>
      <c r="AA85" s="31"/>
      <c r="AB85" s="31"/>
      <c r="AC85" s="31"/>
      <c r="AD85" s="31"/>
      <c r="AE85" s="31"/>
    </row>
    <row r="86" spans="1:63" s="2" customFormat="1" ht="16.5" customHeight="1">
      <c r="A86" s="31"/>
      <c r="B86" s="32"/>
      <c r="C86" s="31"/>
      <c r="D86" s="31"/>
      <c r="E86" s="324" t="str">
        <f>E9</f>
        <v>02 - Zdravotechnika</v>
      </c>
      <c r="F86" s="357"/>
      <c r="G86" s="357"/>
      <c r="H86" s="357"/>
      <c r="I86" s="31"/>
      <c r="J86" s="31"/>
      <c r="K86" s="31"/>
      <c r="L86" s="89"/>
      <c r="S86" s="31"/>
      <c r="T86" s="31"/>
      <c r="U86" s="31"/>
      <c r="V86" s="31"/>
      <c r="W86" s="31"/>
      <c r="X86" s="31"/>
      <c r="Y86" s="31"/>
      <c r="Z86" s="31"/>
      <c r="AA86" s="31"/>
      <c r="AB86" s="31"/>
      <c r="AC86" s="31"/>
      <c r="AD86" s="31"/>
      <c r="AE86" s="31"/>
    </row>
    <row r="87" spans="1:63" s="2" customFormat="1" ht="6.95" customHeight="1">
      <c r="A87" s="31"/>
      <c r="B87" s="32"/>
      <c r="C87" s="31"/>
      <c r="D87" s="31"/>
      <c r="E87" s="31"/>
      <c r="F87" s="31"/>
      <c r="G87" s="31"/>
      <c r="H87" s="31"/>
      <c r="I87" s="31"/>
      <c r="J87" s="31"/>
      <c r="K87" s="31"/>
      <c r="L87" s="89"/>
      <c r="S87" s="31"/>
      <c r="T87" s="31"/>
      <c r="U87" s="31"/>
      <c r="V87" s="31"/>
      <c r="W87" s="31"/>
      <c r="X87" s="31"/>
      <c r="Y87" s="31"/>
      <c r="Z87" s="31"/>
      <c r="AA87" s="31"/>
      <c r="AB87" s="31"/>
      <c r="AC87" s="31"/>
      <c r="AD87" s="31"/>
      <c r="AE87" s="31"/>
    </row>
    <row r="88" spans="1:63" s="2" customFormat="1" ht="12" customHeight="1">
      <c r="A88" s="31"/>
      <c r="B88" s="32"/>
      <c r="C88" s="28" t="s">
        <v>19</v>
      </c>
      <c r="D88" s="31"/>
      <c r="E88" s="31"/>
      <c r="F88" s="26" t="str">
        <f>F12</f>
        <v>Nymburk</v>
      </c>
      <c r="G88" s="31"/>
      <c r="H88" s="31"/>
      <c r="I88" s="28" t="s">
        <v>21</v>
      </c>
      <c r="J88" s="49">
        <f>IF(J12="","",J12)</f>
        <v>44144</v>
      </c>
      <c r="K88" s="31"/>
      <c r="L88" s="89"/>
      <c r="S88" s="31"/>
      <c r="T88" s="31"/>
      <c r="U88" s="31"/>
      <c r="V88" s="31"/>
      <c r="W88" s="31"/>
      <c r="X88" s="31"/>
      <c r="Y88" s="31"/>
      <c r="Z88" s="31"/>
      <c r="AA88" s="31"/>
      <c r="AB88" s="31"/>
      <c r="AC88" s="31"/>
      <c r="AD88" s="31"/>
      <c r="AE88" s="31"/>
    </row>
    <row r="89" spans="1:63" s="2" customFormat="1" ht="6.95" customHeight="1">
      <c r="A89" s="31"/>
      <c r="B89" s="32"/>
      <c r="C89" s="31"/>
      <c r="D89" s="31"/>
      <c r="E89" s="31"/>
      <c r="F89" s="31"/>
      <c r="G89" s="31"/>
      <c r="H89" s="31"/>
      <c r="I89" s="31"/>
      <c r="J89" s="31"/>
      <c r="K89" s="31"/>
      <c r="L89" s="89"/>
      <c r="S89" s="31"/>
      <c r="T89" s="31"/>
      <c r="U89" s="31"/>
      <c r="V89" s="31"/>
      <c r="W89" s="31"/>
      <c r="X89" s="31"/>
      <c r="Y89" s="31"/>
      <c r="Z89" s="31"/>
      <c r="AA89" s="31"/>
      <c r="AB89" s="31"/>
      <c r="AC89" s="31"/>
      <c r="AD89" s="31"/>
      <c r="AE89" s="31"/>
    </row>
    <row r="90" spans="1:63" s="2" customFormat="1" ht="25.7" customHeight="1">
      <c r="A90" s="31"/>
      <c r="B90" s="32"/>
      <c r="C90" s="28" t="s">
        <v>22</v>
      </c>
      <c r="D90" s="31"/>
      <c r="E90" s="31"/>
      <c r="F90" s="26" t="str">
        <f>E15</f>
        <v>Nemocnice Nymburk s.r.o.</v>
      </c>
      <c r="G90" s="31"/>
      <c r="H90" s="31"/>
      <c r="I90" s="28" t="s">
        <v>30</v>
      </c>
      <c r="J90" s="29" t="str">
        <f>E21</f>
        <v>Ing. arch. Pavel Petrák</v>
      </c>
      <c r="K90" s="31"/>
      <c r="L90" s="89"/>
      <c r="S90" s="31"/>
      <c r="T90" s="31"/>
      <c r="U90" s="31"/>
      <c r="V90" s="31"/>
      <c r="W90" s="31"/>
      <c r="X90" s="31"/>
      <c r="Y90" s="31"/>
      <c r="Z90" s="31"/>
      <c r="AA90" s="31"/>
      <c r="AB90" s="31"/>
      <c r="AC90" s="31"/>
      <c r="AD90" s="31"/>
      <c r="AE90" s="31"/>
    </row>
    <row r="91" spans="1:63" s="2" customFormat="1" ht="15.2" customHeight="1">
      <c r="A91" s="31"/>
      <c r="B91" s="32"/>
      <c r="C91" s="28" t="s">
        <v>28</v>
      </c>
      <c r="D91" s="31"/>
      <c r="E91" s="31"/>
      <c r="F91" s="26" t="str">
        <f>IF(E18="","",E18)</f>
        <v xml:space="preserve"> </v>
      </c>
      <c r="G91" s="31"/>
      <c r="H91" s="31"/>
      <c r="I91" s="28" t="s">
        <v>35</v>
      </c>
      <c r="J91" s="29" t="str">
        <f>E24</f>
        <v xml:space="preserve"> </v>
      </c>
      <c r="K91" s="31"/>
      <c r="L91" s="89"/>
      <c r="S91" s="31"/>
      <c r="T91" s="31"/>
      <c r="U91" s="31"/>
      <c r="V91" s="31"/>
      <c r="W91" s="31"/>
      <c r="X91" s="31"/>
      <c r="Y91" s="31"/>
      <c r="Z91" s="31"/>
      <c r="AA91" s="31"/>
      <c r="AB91" s="31"/>
      <c r="AC91" s="31"/>
      <c r="AD91" s="31"/>
      <c r="AE91" s="31"/>
    </row>
    <row r="92" spans="1:63" s="2" customFormat="1" ht="10.35" customHeight="1">
      <c r="A92" s="31"/>
      <c r="B92" s="32"/>
      <c r="C92" s="31"/>
      <c r="D92" s="31"/>
      <c r="E92" s="31"/>
      <c r="F92" s="31"/>
      <c r="G92" s="31"/>
      <c r="H92" s="31"/>
      <c r="I92" s="31"/>
      <c r="J92" s="31"/>
      <c r="K92" s="31"/>
      <c r="L92" s="89"/>
      <c r="S92" s="31"/>
      <c r="T92" s="31"/>
      <c r="U92" s="31"/>
      <c r="V92" s="31"/>
      <c r="W92" s="31"/>
      <c r="X92" s="31"/>
      <c r="Y92" s="31"/>
      <c r="Z92" s="31"/>
      <c r="AA92" s="31"/>
      <c r="AB92" s="31"/>
      <c r="AC92" s="31"/>
      <c r="AD92" s="31"/>
      <c r="AE92" s="31"/>
    </row>
    <row r="93" spans="1:63" s="11" customFormat="1" ht="29.25" customHeight="1">
      <c r="A93" s="114"/>
      <c r="B93" s="115"/>
      <c r="C93" s="116" t="s">
        <v>124</v>
      </c>
      <c r="D93" s="117" t="s">
        <v>57</v>
      </c>
      <c r="E93" s="117" t="s">
        <v>53</v>
      </c>
      <c r="F93" s="117" t="s">
        <v>54</v>
      </c>
      <c r="G93" s="117" t="s">
        <v>125</v>
      </c>
      <c r="H93" s="117" t="s">
        <v>126</v>
      </c>
      <c r="I93" s="117" t="s">
        <v>127</v>
      </c>
      <c r="J93" s="117" t="s">
        <v>106</v>
      </c>
      <c r="K93" s="118" t="s">
        <v>128</v>
      </c>
      <c r="L93" s="119"/>
      <c r="M93" s="56" t="s">
        <v>3</v>
      </c>
      <c r="N93" s="57" t="s">
        <v>42</v>
      </c>
      <c r="O93" s="57" t="s">
        <v>129</v>
      </c>
      <c r="P93" s="57" t="s">
        <v>130</v>
      </c>
      <c r="Q93" s="57" t="s">
        <v>131</v>
      </c>
      <c r="R93" s="57" t="s">
        <v>132</v>
      </c>
      <c r="S93" s="57" t="s">
        <v>133</v>
      </c>
      <c r="T93" s="58" t="s">
        <v>134</v>
      </c>
      <c r="U93" s="114"/>
      <c r="V93" s="114"/>
      <c r="W93" s="114"/>
      <c r="X93" s="114"/>
      <c r="Y93" s="114"/>
      <c r="Z93" s="114"/>
      <c r="AA93" s="114"/>
      <c r="AB93" s="114"/>
      <c r="AC93" s="114"/>
      <c r="AD93" s="114"/>
      <c r="AE93" s="114"/>
    </row>
    <row r="94" spans="1:63" s="2" customFormat="1" ht="22.9" customHeight="1">
      <c r="A94" s="31"/>
      <c r="B94" s="32"/>
      <c r="C94" s="63" t="s">
        <v>135</v>
      </c>
      <c r="D94" s="31"/>
      <c r="E94" s="31"/>
      <c r="F94" s="31"/>
      <c r="G94" s="31"/>
      <c r="H94" s="31"/>
      <c r="I94" s="31"/>
      <c r="J94" s="120">
        <f>BK94</f>
        <v>0</v>
      </c>
      <c r="K94" s="31"/>
      <c r="L94" s="32"/>
      <c r="M94" s="59"/>
      <c r="N94" s="50"/>
      <c r="O94" s="60"/>
      <c r="P94" s="121">
        <f>P95+P156+P314+P317</f>
        <v>188.97164856000001</v>
      </c>
      <c r="Q94" s="60"/>
      <c r="R94" s="121">
        <f>R95+R156+R314+R317</f>
        <v>1.2276955999999999</v>
      </c>
      <c r="S94" s="60"/>
      <c r="T94" s="122">
        <f>T95+T156+T314+T317</f>
        <v>1.21915</v>
      </c>
      <c r="U94" s="31"/>
      <c r="V94" s="31"/>
      <c r="W94" s="31"/>
      <c r="X94" s="31"/>
      <c r="Y94" s="31"/>
      <c r="Z94" s="31"/>
      <c r="AA94" s="31"/>
      <c r="AB94" s="31"/>
      <c r="AC94" s="31"/>
      <c r="AD94" s="31"/>
      <c r="AE94" s="31"/>
      <c r="AT94" s="19" t="s">
        <v>71</v>
      </c>
      <c r="AU94" s="19" t="s">
        <v>107</v>
      </c>
      <c r="BK94" s="123">
        <f>BK95+BK156+BK314+BK317</f>
        <v>0</v>
      </c>
    </row>
    <row r="95" spans="1:63" s="12" customFormat="1" ht="25.9" customHeight="1">
      <c r="B95" s="124"/>
      <c r="D95" s="125" t="s">
        <v>71</v>
      </c>
      <c r="E95" s="126" t="s">
        <v>136</v>
      </c>
      <c r="F95" s="126" t="s">
        <v>137</v>
      </c>
      <c r="J95" s="127">
        <f>BK95</f>
        <v>0</v>
      </c>
      <c r="L95" s="124"/>
      <c r="M95" s="128"/>
      <c r="N95" s="129"/>
      <c r="O95" s="129"/>
      <c r="P95" s="130">
        <f>P96+P110+P114+P123+P139+P153</f>
        <v>58.589729559999995</v>
      </c>
      <c r="Q95" s="129"/>
      <c r="R95" s="130">
        <f>R96+R110+R114+R123+R139+R153</f>
        <v>1.0533252</v>
      </c>
      <c r="S95" s="129"/>
      <c r="T95" s="131">
        <f>T96+T110+T114+T123+T139+T153</f>
        <v>0.90527999999999997</v>
      </c>
      <c r="AR95" s="125" t="s">
        <v>80</v>
      </c>
      <c r="AT95" s="132" t="s">
        <v>71</v>
      </c>
      <c r="AU95" s="132" t="s">
        <v>72</v>
      </c>
      <c r="AY95" s="125" t="s">
        <v>138</v>
      </c>
      <c r="BK95" s="133">
        <f>BK96+BK110+BK114+BK123+BK139+BK153</f>
        <v>0</v>
      </c>
    </row>
    <row r="96" spans="1:63" s="12" customFormat="1" ht="22.9" customHeight="1">
      <c r="B96" s="124"/>
      <c r="D96" s="125" t="s">
        <v>71</v>
      </c>
      <c r="E96" s="134" t="s">
        <v>139</v>
      </c>
      <c r="F96" s="134" t="s">
        <v>140</v>
      </c>
      <c r="J96" s="135">
        <f>BK96</f>
        <v>0</v>
      </c>
      <c r="L96" s="124"/>
      <c r="M96" s="128"/>
      <c r="N96" s="129"/>
      <c r="O96" s="129"/>
      <c r="P96" s="130">
        <f>SUM(P97:P109)</f>
        <v>11.637</v>
      </c>
      <c r="Q96" s="129"/>
      <c r="R96" s="130">
        <f>SUM(R97:R109)</f>
        <v>0.50895000000000001</v>
      </c>
      <c r="S96" s="129"/>
      <c r="T96" s="131">
        <f>SUM(T97:T109)</f>
        <v>0</v>
      </c>
      <c r="AR96" s="125" t="s">
        <v>80</v>
      </c>
      <c r="AT96" s="132" t="s">
        <v>71</v>
      </c>
      <c r="AU96" s="132" t="s">
        <v>80</v>
      </c>
      <c r="AY96" s="125" t="s">
        <v>138</v>
      </c>
      <c r="BK96" s="133">
        <f>SUM(BK97:BK109)</f>
        <v>0</v>
      </c>
    </row>
    <row r="97" spans="1:65" s="2" customFormat="1" ht="24.2" customHeight="1">
      <c r="A97" s="31"/>
      <c r="B97" s="136"/>
      <c r="C97" s="137" t="s">
        <v>80</v>
      </c>
      <c r="D97" s="137" t="s">
        <v>141</v>
      </c>
      <c r="E97" s="138" t="s">
        <v>533</v>
      </c>
      <c r="F97" s="139" t="s">
        <v>534</v>
      </c>
      <c r="G97" s="140" t="s">
        <v>147</v>
      </c>
      <c r="H97" s="141">
        <f>H99</f>
        <v>9</v>
      </c>
      <c r="I97" s="142"/>
      <c r="J97" s="142">
        <f>ROUND(I97*H97,2)</f>
        <v>0</v>
      </c>
      <c r="K97" s="139" t="s">
        <v>148</v>
      </c>
      <c r="L97" s="32"/>
      <c r="M97" s="143" t="s">
        <v>3</v>
      </c>
      <c r="N97" s="144" t="s">
        <v>43</v>
      </c>
      <c r="O97" s="145">
        <v>0.19500000000000001</v>
      </c>
      <c r="P97" s="145">
        <f>O97*H97</f>
        <v>1.7550000000000001</v>
      </c>
      <c r="Q97" s="145">
        <v>1.2619999999999999E-2</v>
      </c>
      <c r="R97" s="145">
        <f>Q97*H97</f>
        <v>0.11357999999999999</v>
      </c>
      <c r="S97" s="145">
        <v>0</v>
      </c>
      <c r="T97" s="146">
        <f>S97*H97</f>
        <v>0</v>
      </c>
      <c r="U97" s="31"/>
      <c r="V97" s="31"/>
      <c r="W97" s="31"/>
      <c r="X97" s="31"/>
      <c r="Y97" s="31"/>
      <c r="Z97" s="31"/>
      <c r="AA97" s="31"/>
      <c r="AB97" s="31"/>
      <c r="AC97" s="31"/>
      <c r="AD97" s="31"/>
      <c r="AE97" s="31"/>
      <c r="AR97" s="147" t="s">
        <v>144</v>
      </c>
      <c r="AT97" s="147" t="s">
        <v>141</v>
      </c>
      <c r="AU97" s="147" t="s">
        <v>82</v>
      </c>
      <c r="AY97" s="19" t="s">
        <v>138</v>
      </c>
      <c r="BE97" s="148">
        <f>IF(N97="základní",J97,0)</f>
        <v>0</v>
      </c>
      <c r="BF97" s="148">
        <f>IF(N97="snížená",J97,0)</f>
        <v>0</v>
      </c>
      <c r="BG97" s="148">
        <f>IF(N97="zákl. přenesená",J97,0)</f>
        <v>0</v>
      </c>
      <c r="BH97" s="148">
        <f>IF(N97="sníž. přenesená",J97,0)</f>
        <v>0</v>
      </c>
      <c r="BI97" s="148">
        <f>IF(N97="nulová",J97,0)</f>
        <v>0</v>
      </c>
      <c r="BJ97" s="19" t="s">
        <v>80</v>
      </c>
      <c r="BK97" s="148">
        <f>ROUND(I97*H97,2)</f>
        <v>0</v>
      </c>
      <c r="BL97" s="19" t="s">
        <v>144</v>
      </c>
      <c r="BM97" s="147" t="s">
        <v>535</v>
      </c>
    </row>
    <row r="98" spans="1:65" s="13" customFormat="1">
      <c r="B98" s="149"/>
      <c r="D98" s="150" t="s">
        <v>145</v>
      </c>
      <c r="E98" s="151" t="s">
        <v>3</v>
      </c>
      <c r="F98" s="152" t="s">
        <v>198</v>
      </c>
      <c r="H98" s="151" t="s">
        <v>3</v>
      </c>
      <c r="L98" s="149"/>
      <c r="M98" s="153"/>
      <c r="N98" s="154"/>
      <c r="O98" s="154"/>
      <c r="P98" s="154"/>
      <c r="Q98" s="154"/>
      <c r="R98" s="154"/>
      <c r="S98" s="154"/>
      <c r="T98" s="155"/>
      <c r="AT98" s="151" t="s">
        <v>145</v>
      </c>
      <c r="AU98" s="151" t="s">
        <v>82</v>
      </c>
      <c r="AV98" s="13" t="s">
        <v>80</v>
      </c>
      <c r="AW98" s="13" t="s">
        <v>34</v>
      </c>
      <c r="AX98" s="13" t="s">
        <v>72</v>
      </c>
      <c r="AY98" s="151" t="s">
        <v>138</v>
      </c>
    </row>
    <row r="99" spans="1:65" s="14" customFormat="1">
      <c r="B99" s="156"/>
      <c r="D99" s="150" t="s">
        <v>145</v>
      </c>
      <c r="E99" s="157" t="s">
        <v>3</v>
      </c>
      <c r="F99" s="158">
        <v>9</v>
      </c>
      <c r="H99" s="159">
        <v>9</v>
      </c>
      <c r="L99" s="156"/>
      <c r="M99" s="160"/>
      <c r="N99" s="161"/>
      <c r="O99" s="161"/>
      <c r="P99" s="161"/>
      <c r="Q99" s="161"/>
      <c r="R99" s="161"/>
      <c r="S99" s="161"/>
      <c r="T99" s="162"/>
      <c r="AT99" s="157" t="s">
        <v>145</v>
      </c>
      <c r="AU99" s="157" t="s">
        <v>82</v>
      </c>
      <c r="AV99" s="14" t="s">
        <v>82</v>
      </c>
      <c r="AW99" s="14" t="s">
        <v>34</v>
      </c>
      <c r="AX99" s="14" t="s">
        <v>80</v>
      </c>
      <c r="AY99" s="157" t="s">
        <v>138</v>
      </c>
    </row>
    <row r="100" spans="1:65" s="2" customFormat="1" ht="24.2" customHeight="1">
      <c r="A100" s="31"/>
      <c r="B100" s="136"/>
      <c r="C100" s="137">
        <v>2</v>
      </c>
      <c r="D100" s="137" t="s">
        <v>141</v>
      </c>
      <c r="E100" s="138" t="s">
        <v>192</v>
      </c>
      <c r="F100" s="139" t="s">
        <v>193</v>
      </c>
      <c r="G100" s="140" t="s">
        <v>187</v>
      </c>
      <c r="H100" s="141">
        <v>18</v>
      </c>
      <c r="I100" s="142"/>
      <c r="J100" s="142">
        <f>ROUND(I100*H100,2)</f>
        <v>0</v>
      </c>
      <c r="K100" s="139" t="s">
        <v>148</v>
      </c>
      <c r="L100" s="32"/>
      <c r="M100" s="143" t="s">
        <v>3</v>
      </c>
      <c r="N100" s="144" t="s">
        <v>43</v>
      </c>
      <c r="O100" s="145">
        <v>0.2</v>
      </c>
      <c r="P100" s="145">
        <f>O100*H100</f>
        <v>3.6</v>
      </c>
      <c r="Q100" s="145">
        <v>1.2999999999999999E-4</v>
      </c>
      <c r="R100" s="145">
        <f>Q100*H100</f>
        <v>2.3399999999999996E-3</v>
      </c>
      <c r="S100" s="145">
        <v>0</v>
      </c>
      <c r="T100" s="146">
        <f>S100*H100</f>
        <v>0</v>
      </c>
      <c r="U100" s="31"/>
      <c r="V100" s="31"/>
      <c r="W100" s="31"/>
      <c r="X100" s="31"/>
      <c r="Y100" s="31"/>
      <c r="Z100" s="31"/>
      <c r="AA100" s="31"/>
      <c r="AB100" s="31"/>
      <c r="AC100" s="31"/>
      <c r="AD100" s="31"/>
      <c r="AE100" s="31"/>
      <c r="AR100" s="147" t="s">
        <v>144</v>
      </c>
      <c r="AT100" s="147" t="s">
        <v>141</v>
      </c>
      <c r="AU100" s="147" t="s">
        <v>82</v>
      </c>
      <c r="AY100" s="19" t="s">
        <v>138</v>
      </c>
      <c r="BE100" s="148">
        <f>IF(N100="základní",J100,0)</f>
        <v>0</v>
      </c>
      <c r="BF100" s="148">
        <f>IF(N100="snížená",J100,0)</f>
        <v>0</v>
      </c>
      <c r="BG100" s="148">
        <f>IF(N100="zákl. přenesená",J100,0)</f>
        <v>0</v>
      </c>
      <c r="BH100" s="148">
        <f>IF(N100="sníž. přenesená",J100,0)</f>
        <v>0</v>
      </c>
      <c r="BI100" s="148">
        <f>IF(N100="nulová",J100,0)</f>
        <v>0</v>
      </c>
      <c r="BJ100" s="19" t="s">
        <v>80</v>
      </c>
      <c r="BK100" s="148">
        <f>ROUND(I100*H100,2)</f>
        <v>0</v>
      </c>
      <c r="BL100" s="19" t="s">
        <v>144</v>
      </c>
      <c r="BM100" s="147" t="s">
        <v>538</v>
      </c>
    </row>
    <row r="101" spans="1:65" s="2" customFormat="1" ht="78">
      <c r="A101" s="31"/>
      <c r="B101" s="32"/>
      <c r="C101" s="31"/>
      <c r="D101" s="150" t="s">
        <v>149</v>
      </c>
      <c r="E101" s="31"/>
      <c r="F101" s="163" t="s">
        <v>189</v>
      </c>
      <c r="G101" s="31"/>
      <c r="H101" s="31"/>
      <c r="I101" s="31"/>
      <c r="J101" s="31"/>
      <c r="K101" s="31"/>
      <c r="L101" s="32"/>
      <c r="M101" s="164"/>
      <c r="N101" s="165"/>
      <c r="O101" s="52"/>
      <c r="P101" s="52"/>
      <c r="Q101" s="52"/>
      <c r="R101" s="52"/>
      <c r="S101" s="52"/>
      <c r="T101" s="53"/>
      <c r="U101" s="31"/>
      <c r="V101" s="31"/>
      <c r="W101" s="31"/>
      <c r="X101" s="31"/>
      <c r="Y101" s="31"/>
      <c r="Z101" s="31"/>
      <c r="AA101" s="31"/>
      <c r="AB101" s="31"/>
      <c r="AC101" s="31"/>
      <c r="AD101" s="31"/>
      <c r="AE101" s="31"/>
      <c r="AT101" s="19" t="s">
        <v>149</v>
      </c>
      <c r="AU101" s="19" t="s">
        <v>82</v>
      </c>
    </row>
    <row r="102" spans="1:65" s="13" customFormat="1">
      <c r="B102" s="149"/>
      <c r="D102" s="150" t="s">
        <v>145</v>
      </c>
      <c r="E102" s="151" t="s">
        <v>3</v>
      </c>
      <c r="F102" s="152" t="s">
        <v>198</v>
      </c>
      <c r="H102" s="151" t="s">
        <v>3</v>
      </c>
      <c r="L102" s="149"/>
      <c r="M102" s="153"/>
      <c r="N102" s="154"/>
      <c r="O102" s="154"/>
      <c r="P102" s="154"/>
      <c r="Q102" s="154"/>
      <c r="R102" s="154"/>
      <c r="S102" s="154"/>
      <c r="T102" s="155"/>
      <c r="AT102" s="151" t="s">
        <v>145</v>
      </c>
      <c r="AU102" s="151" t="s">
        <v>82</v>
      </c>
      <c r="AV102" s="13" t="s">
        <v>80</v>
      </c>
      <c r="AW102" s="13" t="s">
        <v>34</v>
      </c>
      <c r="AX102" s="13" t="s">
        <v>72</v>
      </c>
      <c r="AY102" s="151" t="s">
        <v>138</v>
      </c>
    </row>
    <row r="103" spans="1:65" s="14" customFormat="1">
      <c r="B103" s="156"/>
      <c r="D103" s="150" t="s">
        <v>145</v>
      </c>
      <c r="E103" s="157" t="s">
        <v>3</v>
      </c>
      <c r="F103" s="158" t="s">
        <v>1327</v>
      </c>
      <c r="H103" s="159">
        <f>(3+3)*2*1.5</f>
        <v>18</v>
      </c>
      <c r="L103" s="156"/>
      <c r="M103" s="160"/>
      <c r="N103" s="161"/>
      <c r="O103" s="161"/>
      <c r="P103" s="161"/>
      <c r="Q103" s="161"/>
      <c r="R103" s="161"/>
      <c r="S103" s="161"/>
      <c r="T103" s="162"/>
      <c r="AT103" s="157" t="s">
        <v>145</v>
      </c>
      <c r="AU103" s="157" t="s">
        <v>82</v>
      </c>
      <c r="AV103" s="14" t="s">
        <v>82</v>
      </c>
      <c r="AW103" s="14" t="s">
        <v>34</v>
      </c>
      <c r="AX103" s="14" t="s">
        <v>80</v>
      </c>
      <c r="AY103" s="157" t="s">
        <v>138</v>
      </c>
    </row>
    <row r="104" spans="1:65" s="2" customFormat="1" ht="37.9" customHeight="1">
      <c r="A104" s="31"/>
      <c r="B104" s="136"/>
      <c r="C104" s="137">
        <v>3</v>
      </c>
      <c r="D104" s="137" t="s">
        <v>141</v>
      </c>
      <c r="E104" s="138" t="s">
        <v>539</v>
      </c>
      <c r="F104" s="139" t="s">
        <v>540</v>
      </c>
      <c r="G104" s="140" t="s">
        <v>173</v>
      </c>
      <c r="H104" s="141">
        <v>9</v>
      </c>
      <c r="I104" s="142"/>
      <c r="J104" s="142">
        <f>ROUND(I104*H104,2)</f>
        <v>0</v>
      </c>
      <c r="K104" s="139" t="s">
        <v>148</v>
      </c>
      <c r="L104" s="32"/>
      <c r="M104" s="143" t="s">
        <v>3</v>
      </c>
      <c r="N104" s="144" t="s">
        <v>43</v>
      </c>
      <c r="O104" s="145">
        <v>0.69799999999999995</v>
      </c>
      <c r="P104" s="145">
        <f>O104*H104</f>
        <v>6.282</v>
      </c>
      <c r="Q104" s="145">
        <v>4.367E-2</v>
      </c>
      <c r="R104" s="145">
        <f>Q104*H104</f>
        <v>0.39302999999999999</v>
      </c>
      <c r="S104" s="145">
        <v>0</v>
      </c>
      <c r="T104" s="146">
        <f>S104*H104</f>
        <v>0</v>
      </c>
      <c r="U104" s="31"/>
      <c r="V104" s="31"/>
      <c r="W104" s="31"/>
      <c r="X104" s="31"/>
      <c r="Y104" s="31"/>
      <c r="Z104" s="31"/>
      <c r="AA104" s="31"/>
      <c r="AB104" s="31"/>
      <c r="AC104" s="31"/>
      <c r="AD104" s="31"/>
      <c r="AE104" s="31"/>
      <c r="AR104" s="147" t="s">
        <v>144</v>
      </c>
      <c r="AT104" s="147" t="s">
        <v>141</v>
      </c>
      <c r="AU104" s="147" t="s">
        <v>82</v>
      </c>
      <c r="AY104" s="19" t="s">
        <v>138</v>
      </c>
      <c r="BE104" s="148">
        <f>IF(N104="základní",J104,0)</f>
        <v>0</v>
      </c>
      <c r="BF104" s="148">
        <f>IF(N104="snížená",J104,0)</f>
        <v>0</v>
      </c>
      <c r="BG104" s="148">
        <f>IF(N104="zákl. přenesená",J104,0)</f>
        <v>0</v>
      </c>
      <c r="BH104" s="148">
        <f>IF(N104="sníž. přenesená",J104,0)</f>
        <v>0</v>
      </c>
      <c r="BI104" s="148">
        <f>IF(N104="nulová",J104,0)</f>
        <v>0</v>
      </c>
      <c r="BJ104" s="19" t="s">
        <v>80</v>
      </c>
      <c r="BK104" s="148">
        <f>ROUND(I104*H104,2)</f>
        <v>0</v>
      </c>
      <c r="BL104" s="19" t="s">
        <v>144</v>
      </c>
      <c r="BM104" s="147" t="s">
        <v>541</v>
      </c>
    </row>
    <row r="105" spans="1:65" s="2" customFormat="1" ht="19.5">
      <c r="A105" s="31"/>
      <c r="B105" s="32"/>
      <c r="C105" s="31"/>
      <c r="D105" s="150" t="s">
        <v>242</v>
      </c>
      <c r="E105" s="31"/>
      <c r="F105" s="163" t="s">
        <v>542</v>
      </c>
      <c r="G105" s="31"/>
      <c r="H105" s="31"/>
      <c r="I105" s="31"/>
      <c r="J105" s="31"/>
      <c r="K105" s="31"/>
      <c r="L105" s="32"/>
      <c r="M105" s="164"/>
      <c r="N105" s="165"/>
      <c r="O105" s="52"/>
      <c r="P105" s="52"/>
      <c r="Q105" s="52"/>
      <c r="R105" s="52"/>
      <c r="S105" s="52"/>
      <c r="T105" s="53"/>
      <c r="U105" s="31"/>
      <c r="V105" s="31"/>
      <c r="W105" s="31"/>
      <c r="X105" s="31"/>
      <c r="Y105" s="31"/>
      <c r="Z105" s="31"/>
      <c r="AA105" s="31"/>
      <c r="AB105" s="31"/>
      <c r="AC105" s="31"/>
      <c r="AD105" s="31"/>
      <c r="AE105" s="31"/>
      <c r="AT105" s="19" t="s">
        <v>242</v>
      </c>
      <c r="AU105" s="19" t="s">
        <v>82</v>
      </c>
    </row>
    <row r="106" spans="1:65" s="13" customFormat="1">
      <c r="B106" s="149"/>
      <c r="D106" s="150" t="s">
        <v>145</v>
      </c>
      <c r="E106" s="151" t="s">
        <v>3</v>
      </c>
      <c r="F106" s="152" t="s">
        <v>543</v>
      </c>
      <c r="H106" s="151" t="s">
        <v>3</v>
      </c>
      <c r="L106" s="149"/>
      <c r="M106" s="153"/>
      <c r="N106" s="154"/>
      <c r="O106" s="154"/>
      <c r="P106" s="154"/>
      <c r="Q106" s="154"/>
      <c r="R106" s="154"/>
      <c r="S106" s="154"/>
      <c r="T106" s="155"/>
      <c r="AT106" s="151" t="s">
        <v>145</v>
      </c>
      <c r="AU106" s="151" t="s">
        <v>82</v>
      </c>
      <c r="AV106" s="13" t="s">
        <v>80</v>
      </c>
      <c r="AW106" s="13" t="s">
        <v>34</v>
      </c>
      <c r="AX106" s="13" t="s">
        <v>72</v>
      </c>
      <c r="AY106" s="151" t="s">
        <v>138</v>
      </c>
    </row>
    <row r="107" spans="1:65" s="14" customFormat="1">
      <c r="B107" s="156"/>
      <c r="D107" s="150" t="s">
        <v>145</v>
      </c>
      <c r="E107" s="157" t="s">
        <v>3</v>
      </c>
      <c r="F107" s="158" t="s">
        <v>1328</v>
      </c>
      <c r="H107" s="159">
        <v>4.5</v>
      </c>
      <c r="L107" s="156"/>
      <c r="M107" s="160"/>
      <c r="N107" s="161"/>
      <c r="O107" s="161"/>
      <c r="P107" s="161"/>
      <c r="Q107" s="161"/>
      <c r="R107" s="161"/>
      <c r="S107" s="161"/>
      <c r="T107" s="162"/>
      <c r="AT107" s="157" t="s">
        <v>145</v>
      </c>
      <c r="AU107" s="157" t="s">
        <v>82</v>
      </c>
      <c r="AV107" s="14" t="s">
        <v>82</v>
      </c>
      <c r="AW107" s="14" t="s">
        <v>34</v>
      </c>
      <c r="AX107" s="14" t="s">
        <v>72</v>
      </c>
      <c r="AY107" s="157" t="s">
        <v>138</v>
      </c>
    </row>
    <row r="108" spans="1:65" s="14" customFormat="1">
      <c r="B108" s="156"/>
      <c r="D108" s="150" t="s">
        <v>145</v>
      </c>
      <c r="E108" s="157" t="s">
        <v>3</v>
      </c>
      <c r="F108" s="158" t="s">
        <v>1329</v>
      </c>
      <c r="H108" s="159">
        <v>4.5</v>
      </c>
      <c r="L108" s="156"/>
      <c r="M108" s="160"/>
      <c r="N108" s="161"/>
      <c r="O108" s="161"/>
      <c r="P108" s="161"/>
      <c r="Q108" s="161"/>
      <c r="R108" s="161"/>
      <c r="S108" s="161"/>
      <c r="T108" s="162"/>
      <c r="AT108" s="157" t="s">
        <v>145</v>
      </c>
      <c r="AU108" s="157" t="s">
        <v>82</v>
      </c>
      <c r="AV108" s="14" t="s">
        <v>82</v>
      </c>
      <c r="AW108" s="14" t="s">
        <v>34</v>
      </c>
      <c r="AX108" s="14" t="s">
        <v>72</v>
      </c>
      <c r="AY108" s="157" t="s">
        <v>138</v>
      </c>
    </row>
    <row r="109" spans="1:65" s="15" customFormat="1">
      <c r="B109" s="166"/>
      <c r="D109" s="150" t="s">
        <v>145</v>
      </c>
      <c r="E109" s="167" t="s">
        <v>3</v>
      </c>
      <c r="F109" s="168" t="s">
        <v>151</v>
      </c>
      <c r="H109" s="169">
        <v>9</v>
      </c>
      <c r="L109" s="166"/>
      <c r="M109" s="170"/>
      <c r="N109" s="171"/>
      <c r="O109" s="171"/>
      <c r="P109" s="171"/>
      <c r="Q109" s="171"/>
      <c r="R109" s="171"/>
      <c r="S109" s="171"/>
      <c r="T109" s="172"/>
      <c r="AT109" s="167" t="s">
        <v>145</v>
      </c>
      <c r="AU109" s="167" t="s">
        <v>82</v>
      </c>
      <c r="AV109" s="15" t="s">
        <v>144</v>
      </c>
      <c r="AW109" s="15" t="s">
        <v>34</v>
      </c>
      <c r="AX109" s="15" t="s">
        <v>80</v>
      </c>
      <c r="AY109" s="167" t="s">
        <v>138</v>
      </c>
    </row>
    <row r="110" spans="1:65" s="12" customFormat="1" ht="22.9" customHeight="1">
      <c r="B110" s="124"/>
      <c r="D110" s="125" t="s">
        <v>71</v>
      </c>
      <c r="E110" s="134" t="s">
        <v>144</v>
      </c>
      <c r="F110" s="134" t="s">
        <v>544</v>
      </c>
      <c r="J110" s="135">
        <f>BK110</f>
        <v>0</v>
      </c>
      <c r="L110" s="124"/>
      <c r="M110" s="128"/>
      <c r="N110" s="129"/>
      <c r="O110" s="129"/>
      <c r="P110" s="130">
        <f>SUM(P111:P113)</f>
        <v>5.3879999999999999</v>
      </c>
      <c r="Q110" s="129"/>
      <c r="R110" s="130">
        <f>SUM(R111:R113)</f>
        <v>0.21312</v>
      </c>
      <c r="S110" s="129"/>
      <c r="T110" s="131">
        <f>SUM(T111:T113)</f>
        <v>0</v>
      </c>
      <c r="AR110" s="125" t="s">
        <v>80</v>
      </c>
      <c r="AT110" s="132" t="s">
        <v>71</v>
      </c>
      <c r="AU110" s="132" t="s">
        <v>80</v>
      </c>
      <c r="AY110" s="125" t="s">
        <v>138</v>
      </c>
      <c r="BK110" s="133">
        <f>SUM(BK111:BK113)</f>
        <v>0</v>
      </c>
    </row>
    <row r="111" spans="1:65" s="2" customFormat="1" ht="62.65" customHeight="1">
      <c r="A111" s="31"/>
      <c r="B111" s="136"/>
      <c r="C111" s="137">
        <v>4</v>
      </c>
      <c r="D111" s="137" t="s">
        <v>141</v>
      </c>
      <c r="E111" s="138" t="s">
        <v>545</v>
      </c>
      <c r="F111" s="139" t="s">
        <v>546</v>
      </c>
      <c r="G111" s="140" t="s">
        <v>147</v>
      </c>
      <c r="H111" s="141">
        <f>H113</f>
        <v>4</v>
      </c>
      <c r="I111" s="142"/>
      <c r="J111" s="142">
        <f>ROUND(I111*H111,2)</f>
        <v>0</v>
      </c>
      <c r="K111" s="139" t="s">
        <v>148</v>
      </c>
      <c r="L111" s="32"/>
      <c r="M111" s="143" t="s">
        <v>3</v>
      </c>
      <c r="N111" s="144" t="s">
        <v>43</v>
      </c>
      <c r="O111" s="145">
        <v>1.347</v>
      </c>
      <c r="P111" s="145">
        <f>O111*H111</f>
        <v>5.3879999999999999</v>
      </c>
      <c r="Q111" s="145">
        <v>5.3280000000000001E-2</v>
      </c>
      <c r="R111" s="145">
        <f>Q111*H111</f>
        <v>0.21312</v>
      </c>
      <c r="S111" s="145">
        <v>0</v>
      </c>
      <c r="T111" s="146">
        <f>S111*H111</f>
        <v>0</v>
      </c>
      <c r="U111" s="31"/>
      <c r="V111" s="31"/>
      <c r="W111" s="31"/>
      <c r="X111" s="31"/>
      <c r="Y111" s="31"/>
      <c r="Z111" s="31"/>
      <c r="AA111" s="31"/>
      <c r="AB111" s="31"/>
      <c r="AC111" s="31"/>
      <c r="AD111" s="31"/>
      <c r="AE111" s="31"/>
      <c r="AR111" s="147" t="s">
        <v>144</v>
      </c>
      <c r="AT111" s="147" t="s">
        <v>141</v>
      </c>
      <c r="AU111" s="147" t="s">
        <v>82</v>
      </c>
      <c r="AY111" s="19" t="s">
        <v>138</v>
      </c>
      <c r="BE111" s="148">
        <f>IF(N111="základní",J111,0)</f>
        <v>0</v>
      </c>
      <c r="BF111" s="148">
        <f>IF(N111="snížená",J111,0)</f>
        <v>0</v>
      </c>
      <c r="BG111" s="148">
        <f>IF(N111="zákl. přenesená",J111,0)</f>
        <v>0</v>
      </c>
      <c r="BH111" s="148">
        <f>IF(N111="sníž. přenesená",J111,0)</f>
        <v>0</v>
      </c>
      <c r="BI111" s="148">
        <f>IF(N111="nulová",J111,0)</f>
        <v>0</v>
      </c>
      <c r="BJ111" s="19" t="s">
        <v>80</v>
      </c>
      <c r="BK111" s="148">
        <f>ROUND(I111*H111,2)</f>
        <v>0</v>
      </c>
      <c r="BL111" s="19" t="s">
        <v>144</v>
      </c>
      <c r="BM111" s="147" t="s">
        <v>547</v>
      </c>
    </row>
    <row r="112" spans="1:65" s="13" customFormat="1">
      <c r="B112" s="149"/>
      <c r="D112" s="150" t="s">
        <v>145</v>
      </c>
      <c r="E112" s="151" t="s">
        <v>3</v>
      </c>
      <c r="F112" s="152" t="s">
        <v>548</v>
      </c>
      <c r="H112" s="151" t="s">
        <v>3</v>
      </c>
      <c r="L112" s="149"/>
      <c r="M112" s="153"/>
      <c r="N112" s="154"/>
      <c r="O112" s="154"/>
      <c r="P112" s="154"/>
      <c r="Q112" s="154"/>
      <c r="R112" s="154"/>
      <c r="S112" s="154"/>
      <c r="T112" s="155"/>
      <c r="AT112" s="151" t="s">
        <v>145</v>
      </c>
      <c r="AU112" s="151" t="s">
        <v>82</v>
      </c>
      <c r="AV112" s="13" t="s">
        <v>80</v>
      </c>
      <c r="AW112" s="13" t="s">
        <v>34</v>
      </c>
      <c r="AX112" s="13" t="s">
        <v>72</v>
      </c>
      <c r="AY112" s="151" t="s">
        <v>138</v>
      </c>
    </row>
    <row r="113" spans="1:65" s="14" customFormat="1">
      <c r="B113" s="156"/>
      <c r="D113" s="150" t="s">
        <v>145</v>
      </c>
      <c r="E113" s="157" t="s">
        <v>3</v>
      </c>
      <c r="F113" s="158" t="s">
        <v>1292</v>
      </c>
      <c r="H113" s="159">
        <v>4</v>
      </c>
      <c r="L113" s="156"/>
      <c r="M113" s="160"/>
      <c r="N113" s="161"/>
      <c r="O113" s="161"/>
      <c r="P113" s="161"/>
      <c r="Q113" s="161"/>
      <c r="R113" s="161"/>
      <c r="S113" s="161"/>
      <c r="T113" s="162"/>
      <c r="AT113" s="157" t="s">
        <v>145</v>
      </c>
      <c r="AU113" s="157" t="s">
        <v>82</v>
      </c>
      <c r="AV113" s="14" t="s">
        <v>82</v>
      </c>
      <c r="AW113" s="14" t="s">
        <v>34</v>
      </c>
      <c r="AX113" s="14" t="s">
        <v>80</v>
      </c>
      <c r="AY113" s="157" t="s">
        <v>138</v>
      </c>
    </row>
    <row r="114" spans="1:65" s="12" customFormat="1" ht="22.9" customHeight="1">
      <c r="B114" s="124"/>
      <c r="D114" s="125" t="s">
        <v>71</v>
      </c>
      <c r="E114" s="134" t="s">
        <v>169</v>
      </c>
      <c r="F114" s="134" t="s">
        <v>199</v>
      </c>
      <c r="J114" s="135">
        <f>BK114</f>
        <v>0</v>
      </c>
      <c r="L114" s="124"/>
      <c r="M114" s="128"/>
      <c r="N114" s="129"/>
      <c r="O114" s="129"/>
      <c r="P114" s="130">
        <f>SUM(P115:P122)</f>
        <v>8.980319999999999</v>
      </c>
      <c r="Q114" s="129"/>
      <c r="R114" s="130">
        <f>SUM(R115:R122)</f>
        <v>0.33125519999999997</v>
      </c>
      <c r="S114" s="129"/>
      <c r="T114" s="131">
        <f>SUM(T115:T122)</f>
        <v>0</v>
      </c>
      <c r="AR114" s="125" t="s">
        <v>80</v>
      </c>
      <c r="AT114" s="132" t="s">
        <v>71</v>
      </c>
      <c r="AU114" s="132" t="s">
        <v>80</v>
      </c>
      <c r="AY114" s="125" t="s">
        <v>138</v>
      </c>
      <c r="BK114" s="133">
        <f>SUM(BK115:BK122)</f>
        <v>0</v>
      </c>
    </row>
    <row r="115" spans="1:65" s="2" customFormat="1" ht="14.45" customHeight="1">
      <c r="A115" s="31"/>
      <c r="B115" s="136"/>
      <c r="C115" s="137">
        <v>5</v>
      </c>
      <c r="D115" s="137" t="s">
        <v>141</v>
      </c>
      <c r="E115" s="138" t="s">
        <v>549</v>
      </c>
      <c r="F115" s="139" t="s">
        <v>550</v>
      </c>
      <c r="G115" s="140" t="s">
        <v>173</v>
      </c>
      <c r="H115" s="141">
        <f>H118+H120+H121</f>
        <v>4.2359999999999998</v>
      </c>
      <c r="I115" s="142"/>
      <c r="J115" s="142">
        <f>ROUND(I115*H115,2)</f>
        <v>0</v>
      </c>
      <c r="K115" s="139" t="s">
        <v>148</v>
      </c>
      <c r="L115" s="32"/>
      <c r="M115" s="143" t="s">
        <v>3</v>
      </c>
      <c r="N115" s="144" t="s">
        <v>43</v>
      </c>
      <c r="O115" s="145">
        <v>0.624</v>
      </c>
      <c r="P115" s="145">
        <f>O115*H115</f>
        <v>2.6432639999999998</v>
      </c>
      <c r="Q115" s="145">
        <v>0.04</v>
      </c>
      <c r="R115" s="145">
        <f>Q115*H115</f>
        <v>0.16944000000000001</v>
      </c>
      <c r="S115" s="145">
        <v>0</v>
      </c>
      <c r="T115" s="146">
        <f>S115*H115</f>
        <v>0</v>
      </c>
      <c r="U115" s="31"/>
      <c r="V115" s="31"/>
      <c r="W115" s="31"/>
      <c r="X115" s="31"/>
      <c r="Y115" s="31"/>
      <c r="Z115" s="31"/>
      <c r="AA115" s="31"/>
      <c r="AB115" s="31"/>
      <c r="AC115" s="31"/>
      <c r="AD115" s="31"/>
      <c r="AE115" s="31"/>
      <c r="AR115" s="147" t="s">
        <v>144</v>
      </c>
      <c r="AT115" s="147" t="s">
        <v>141</v>
      </c>
      <c r="AU115" s="147" t="s">
        <v>82</v>
      </c>
      <c r="AY115" s="19" t="s">
        <v>138</v>
      </c>
      <c r="BE115" s="148">
        <f>IF(N115="základní",J115,0)</f>
        <v>0</v>
      </c>
      <c r="BF115" s="148">
        <f>IF(N115="snížená",J115,0)</f>
        <v>0</v>
      </c>
      <c r="BG115" s="148">
        <f>IF(N115="zákl. přenesená",J115,0)</f>
        <v>0</v>
      </c>
      <c r="BH115" s="148">
        <f>IF(N115="sníž. přenesená",J115,0)</f>
        <v>0</v>
      </c>
      <c r="BI115" s="148">
        <f>IF(N115="nulová",J115,0)</f>
        <v>0</v>
      </c>
      <c r="BJ115" s="19" t="s">
        <v>80</v>
      </c>
      <c r="BK115" s="148">
        <f>ROUND(I115*H115,2)</f>
        <v>0</v>
      </c>
      <c r="BL115" s="19" t="s">
        <v>144</v>
      </c>
      <c r="BM115" s="147" t="s">
        <v>551</v>
      </c>
    </row>
    <row r="116" spans="1:65" s="2" customFormat="1" ht="39">
      <c r="A116" s="31"/>
      <c r="B116" s="32"/>
      <c r="C116" s="31"/>
      <c r="D116" s="150" t="s">
        <v>149</v>
      </c>
      <c r="E116" s="31"/>
      <c r="F116" s="163" t="s">
        <v>552</v>
      </c>
      <c r="G116" s="31"/>
      <c r="H116" s="31"/>
      <c r="I116" s="31"/>
      <c r="J116" s="31"/>
      <c r="K116" s="31"/>
      <c r="L116" s="32"/>
      <c r="M116" s="164"/>
      <c r="N116" s="165"/>
      <c r="O116" s="52"/>
      <c r="P116" s="52"/>
      <c r="Q116" s="52"/>
      <c r="R116" s="52"/>
      <c r="S116" s="52"/>
      <c r="T116" s="53"/>
      <c r="U116" s="31"/>
      <c r="V116" s="31"/>
      <c r="W116" s="31"/>
      <c r="X116" s="31"/>
      <c r="Y116" s="31"/>
      <c r="Z116" s="31"/>
      <c r="AA116" s="31"/>
      <c r="AB116" s="31"/>
      <c r="AC116" s="31"/>
      <c r="AD116" s="31"/>
      <c r="AE116" s="31"/>
      <c r="AT116" s="19" t="s">
        <v>149</v>
      </c>
      <c r="AU116" s="19" t="s">
        <v>82</v>
      </c>
    </row>
    <row r="117" spans="1:65" s="13" customFormat="1">
      <c r="B117" s="149"/>
      <c r="D117" s="150" t="s">
        <v>145</v>
      </c>
      <c r="E117" s="151" t="s">
        <v>3</v>
      </c>
      <c r="F117" s="152" t="s">
        <v>1339</v>
      </c>
      <c r="H117" s="151" t="s">
        <v>3</v>
      </c>
      <c r="L117" s="149"/>
      <c r="M117" s="153"/>
      <c r="N117" s="154"/>
      <c r="O117" s="154"/>
      <c r="P117" s="154"/>
      <c r="Q117" s="154"/>
      <c r="R117" s="154"/>
      <c r="S117" s="154"/>
      <c r="T117" s="155"/>
      <c r="AT117" s="151" t="s">
        <v>145</v>
      </c>
      <c r="AU117" s="151" t="s">
        <v>82</v>
      </c>
      <c r="AV117" s="13" t="s">
        <v>80</v>
      </c>
      <c r="AW117" s="13" t="s">
        <v>34</v>
      </c>
      <c r="AX117" s="13" t="s">
        <v>72</v>
      </c>
      <c r="AY117" s="151" t="s">
        <v>138</v>
      </c>
    </row>
    <row r="118" spans="1:65" s="14" customFormat="1">
      <c r="B118" s="156"/>
      <c r="D118" s="150" t="s">
        <v>145</v>
      </c>
      <c r="E118" s="157" t="s">
        <v>3</v>
      </c>
      <c r="F118" s="313" t="s">
        <v>1342</v>
      </c>
      <c r="H118" s="159">
        <f>H132*0.1</f>
        <v>2.532</v>
      </c>
      <c r="L118" s="156"/>
      <c r="M118" s="160"/>
      <c r="N118" s="161"/>
      <c r="O118" s="161"/>
      <c r="P118" s="161"/>
      <c r="Q118" s="161"/>
      <c r="R118" s="161"/>
      <c r="S118" s="161"/>
      <c r="T118" s="162"/>
      <c r="AT118" s="157" t="s">
        <v>145</v>
      </c>
      <c r="AU118" s="157" t="s">
        <v>82</v>
      </c>
      <c r="AV118" s="14" t="s">
        <v>82</v>
      </c>
      <c r="AW118" s="14" t="s">
        <v>34</v>
      </c>
      <c r="AX118" s="14" t="s">
        <v>80</v>
      </c>
      <c r="AY118" s="157" t="s">
        <v>138</v>
      </c>
    </row>
    <row r="119" spans="1:65" s="13" customFormat="1">
      <c r="B119" s="149"/>
      <c r="D119" s="150" t="s">
        <v>145</v>
      </c>
      <c r="E119" s="151" t="s">
        <v>3</v>
      </c>
      <c r="F119" s="152" t="s">
        <v>1340</v>
      </c>
      <c r="H119" s="151"/>
      <c r="L119" s="149"/>
      <c r="M119" s="153"/>
      <c r="N119" s="154"/>
      <c r="O119" s="154"/>
      <c r="P119" s="154"/>
      <c r="Q119" s="154"/>
      <c r="R119" s="154"/>
      <c r="S119" s="154"/>
      <c r="T119" s="155"/>
      <c r="AT119" s="151" t="s">
        <v>145</v>
      </c>
      <c r="AU119" s="151" t="s">
        <v>82</v>
      </c>
      <c r="AV119" s="13" t="s">
        <v>80</v>
      </c>
      <c r="AW119" s="13" t="s">
        <v>34</v>
      </c>
      <c r="AX119" s="13" t="s">
        <v>72</v>
      </c>
      <c r="AY119" s="151" t="s">
        <v>138</v>
      </c>
    </row>
    <row r="120" spans="1:65" s="14" customFormat="1">
      <c r="B120" s="156"/>
      <c r="D120" s="150" t="s">
        <v>145</v>
      </c>
      <c r="E120" s="157" t="s">
        <v>3</v>
      </c>
      <c r="F120" s="312" t="s">
        <v>1346</v>
      </c>
      <c r="H120" s="159">
        <f>H134*0.1</f>
        <v>1.1639999999999999</v>
      </c>
      <c r="L120" s="156"/>
      <c r="M120" s="160"/>
      <c r="N120" s="161"/>
      <c r="O120" s="161"/>
      <c r="P120" s="161"/>
      <c r="Q120" s="161"/>
      <c r="R120" s="161"/>
      <c r="S120" s="161"/>
      <c r="T120" s="162"/>
      <c r="AT120" s="157" t="s">
        <v>145</v>
      </c>
      <c r="AU120" s="157" t="s">
        <v>82</v>
      </c>
      <c r="AV120" s="14" t="s">
        <v>82</v>
      </c>
      <c r="AW120" s="14" t="s">
        <v>34</v>
      </c>
      <c r="AX120" s="14" t="s">
        <v>80</v>
      </c>
      <c r="AY120" s="157" t="s">
        <v>138</v>
      </c>
    </row>
    <row r="121" spans="1:65" s="14" customFormat="1">
      <c r="B121" s="156"/>
      <c r="D121" s="150" t="s">
        <v>145</v>
      </c>
      <c r="E121" s="157" t="s">
        <v>3</v>
      </c>
      <c r="F121" s="158" t="s">
        <v>1347</v>
      </c>
      <c r="H121" s="159">
        <f>H138*0.15</f>
        <v>0.53999999999999992</v>
      </c>
      <c r="L121" s="156"/>
      <c r="M121" s="160"/>
      <c r="N121" s="161"/>
      <c r="O121" s="161"/>
      <c r="P121" s="161"/>
      <c r="Q121" s="161"/>
      <c r="R121" s="161"/>
      <c r="S121" s="161"/>
      <c r="T121" s="162"/>
      <c r="AT121" s="157" t="s">
        <v>145</v>
      </c>
      <c r="AU121" s="157" t="s">
        <v>82</v>
      </c>
      <c r="AV121" s="14" t="s">
        <v>82</v>
      </c>
      <c r="AW121" s="14" t="s">
        <v>34</v>
      </c>
      <c r="AX121" s="14" t="s">
        <v>80</v>
      </c>
      <c r="AY121" s="157" t="s">
        <v>138</v>
      </c>
    </row>
    <row r="122" spans="1:65" s="2" customFormat="1" ht="24.2" customHeight="1">
      <c r="A122" s="31"/>
      <c r="B122" s="136"/>
      <c r="C122" s="137">
        <v>6</v>
      </c>
      <c r="D122" s="137" t="s">
        <v>141</v>
      </c>
      <c r="E122" s="138" t="s">
        <v>553</v>
      </c>
      <c r="F122" s="139" t="s">
        <v>554</v>
      </c>
      <c r="G122" s="140" t="s">
        <v>173</v>
      </c>
      <c r="H122" s="141">
        <f>H115</f>
        <v>4.2359999999999998</v>
      </c>
      <c r="I122" s="142"/>
      <c r="J122" s="142">
        <f>ROUND(I122*H122,2)</f>
        <v>0</v>
      </c>
      <c r="K122" s="139" t="s">
        <v>148</v>
      </c>
      <c r="L122" s="32"/>
      <c r="M122" s="143" t="s">
        <v>3</v>
      </c>
      <c r="N122" s="144" t="s">
        <v>43</v>
      </c>
      <c r="O122" s="145">
        <v>1.496</v>
      </c>
      <c r="P122" s="145">
        <f>O122*H122</f>
        <v>6.3370559999999996</v>
      </c>
      <c r="Q122" s="145">
        <v>3.8199999999999998E-2</v>
      </c>
      <c r="R122" s="145">
        <f>Q122*H122</f>
        <v>0.16181519999999999</v>
      </c>
      <c r="S122" s="145">
        <v>0</v>
      </c>
      <c r="T122" s="146">
        <f>S122*H122</f>
        <v>0</v>
      </c>
      <c r="U122" s="31"/>
      <c r="V122" s="31"/>
      <c r="W122" s="31"/>
      <c r="X122" s="31"/>
      <c r="Y122" s="31"/>
      <c r="Z122" s="31"/>
      <c r="AA122" s="31"/>
      <c r="AB122" s="31"/>
      <c r="AC122" s="31"/>
      <c r="AD122" s="31"/>
      <c r="AE122" s="31"/>
      <c r="AR122" s="147" t="s">
        <v>144</v>
      </c>
      <c r="AT122" s="147" t="s">
        <v>141</v>
      </c>
      <c r="AU122" s="147" t="s">
        <v>82</v>
      </c>
      <c r="AY122" s="19" t="s">
        <v>138</v>
      </c>
      <c r="BE122" s="148">
        <f>IF(N122="základní",J122,0)</f>
        <v>0</v>
      </c>
      <c r="BF122" s="148">
        <f>IF(N122="snížená",J122,0)</f>
        <v>0</v>
      </c>
      <c r="BG122" s="148">
        <f>IF(N122="zákl. přenesená",J122,0)</f>
        <v>0</v>
      </c>
      <c r="BH122" s="148">
        <f>IF(N122="sníž. přenesená",J122,0)</f>
        <v>0</v>
      </c>
      <c r="BI122" s="148">
        <f>IF(N122="nulová",J122,0)</f>
        <v>0</v>
      </c>
      <c r="BJ122" s="19" t="s">
        <v>80</v>
      </c>
      <c r="BK122" s="148">
        <f>ROUND(I122*H122,2)</f>
        <v>0</v>
      </c>
      <c r="BL122" s="19" t="s">
        <v>144</v>
      </c>
      <c r="BM122" s="147" t="s">
        <v>555</v>
      </c>
    </row>
    <row r="123" spans="1:65" s="12" customFormat="1" ht="22.9" customHeight="1">
      <c r="B123" s="124"/>
      <c r="D123" s="125" t="s">
        <v>71</v>
      </c>
      <c r="E123" s="134" t="s">
        <v>178</v>
      </c>
      <c r="F123" s="134" t="s">
        <v>247</v>
      </c>
      <c r="J123" s="135">
        <f>BK123</f>
        <v>0</v>
      </c>
      <c r="L123" s="124"/>
      <c r="M123" s="128"/>
      <c r="N123" s="129"/>
      <c r="O123" s="129"/>
      <c r="P123" s="130">
        <f>SUM(P124:P138)</f>
        <v>19.845120000000001</v>
      </c>
      <c r="Q123" s="129"/>
      <c r="R123" s="130">
        <f>SUM(R124:R138)</f>
        <v>0</v>
      </c>
      <c r="S123" s="129"/>
      <c r="T123" s="131">
        <f>SUM(T124:T138)</f>
        <v>0.90527999999999997</v>
      </c>
      <c r="AR123" s="125" t="s">
        <v>80</v>
      </c>
      <c r="AT123" s="132" t="s">
        <v>71</v>
      </c>
      <c r="AU123" s="132" t="s">
        <v>80</v>
      </c>
      <c r="AY123" s="125" t="s">
        <v>138</v>
      </c>
      <c r="BK123" s="133">
        <f>SUM(BK124:BK138)</f>
        <v>0</v>
      </c>
    </row>
    <row r="124" spans="1:65" s="2" customFormat="1" ht="49.15" customHeight="1">
      <c r="A124" s="31"/>
      <c r="B124" s="136"/>
      <c r="C124" s="137">
        <v>7</v>
      </c>
      <c r="D124" s="137" t="s">
        <v>141</v>
      </c>
      <c r="E124" s="138" t="s">
        <v>556</v>
      </c>
      <c r="F124" s="139" t="s">
        <v>557</v>
      </c>
      <c r="G124" s="140" t="s">
        <v>147</v>
      </c>
      <c r="H124" s="141">
        <v>14</v>
      </c>
      <c r="I124" s="142"/>
      <c r="J124" s="142">
        <f>ROUND(I124*H124,2)</f>
        <v>0</v>
      </c>
      <c r="K124" s="139" t="s">
        <v>148</v>
      </c>
      <c r="L124" s="32"/>
      <c r="M124" s="143" t="s">
        <v>3</v>
      </c>
      <c r="N124" s="144" t="s">
        <v>43</v>
      </c>
      <c r="O124" s="145">
        <v>0.16</v>
      </c>
      <c r="P124" s="145">
        <f>O124*H124</f>
        <v>2.2400000000000002</v>
      </c>
      <c r="Q124" s="145">
        <v>0</v>
      </c>
      <c r="R124" s="145">
        <f>Q124*H124</f>
        <v>0</v>
      </c>
      <c r="S124" s="145">
        <v>4.0000000000000001E-3</v>
      </c>
      <c r="T124" s="146">
        <f>S124*H124</f>
        <v>5.6000000000000001E-2</v>
      </c>
      <c r="U124" s="31"/>
      <c r="V124" s="31"/>
      <c r="W124" s="31"/>
      <c r="X124" s="31"/>
      <c r="Y124" s="31"/>
      <c r="Z124" s="31"/>
      <c r="AA124" s="31"/>
      <c r="AB124" s="31"/>
      <c r="AC124" s="31"/>
      <c r="AD124" s="31"/>
      <c r="AE124" s="31"/>
      <c r="AR124" s="147" t="s">
        <v>144</v>
      </c>
      <c r="AT124" s="147" t="s">
        <v>141</v>
      </c>
      <c r="AU124" s="147" t="s">
        <v>82</v>
      </c>
      <c r="AY124" s="19" t="s">
        <v>138</v>
      </c>
      <c r="BE124" s="148">
        <f>IF(N124="základní",J124,0)</f>
        <v>0</v>
      </c>
      <c r="BF124" s="148">
        <f>IF(N124="snížená",J124,0)</f>
        <v>0</v>
      </c>
      <c r="BG124" s="148">
        <f>IF(N124="zákl. přenesená",J124,0)</f>
        <v>0</v>
      </c>
      <c r="BH124" s="148">
        <f>IF(N124="sníž. přenesená",J124,0)</f>
        <v>0</v>
      </c>
      <c r="BI124" s="148">
        <f>IF(N124="nulová",J124,0)</f>
        <v>0</v>
      </c>
      <c r="BJ124" s="19" t="s">
        <v>80</v>
      </c>
      <c r="BK124" s="148">
        <f>ROUND(I124*H124,2)</f>
        <v>0</v>
      </c>
      <c r="BL124" s="19" t="s">
        <v>144</v>
      </c>
      <c r="BM124" s="147" t="s">
        <v>558</v>
      </c>
    </row>
    <row r="125" spans="1:65" s="13" customFormat="1">
      <c r="B125" s="149"/>
      <c r="D125" s="150" t="s">
        <v>145</v>
      </c>
      <c r="E125" s="151" t="s">
        <v>3</v>
      </c>
      <c r="F125" s="152" t="s">
        <v>548</v>
      </c>
      <c r="H125" s="151" t="s">
        <v>3</v>
      </c>
      <c r="L125" s="149"/>
      <c r="M125" s="153"/>
      <c r="N125" s="154"/>
      <c r="O125" s="154"/>
      <c r="P125" s="154"/>
      <c r="Q125" s="154"/>
      <c r="R125" s="154"/>
      <c r="S125" s="154"/>
      <c r="T125" s="155"/>
      <c r="AT125" s="151" t="s">
        <v>145</v>
      </c>
      <c r="AU125" s="151" t="s">
        <v>82</v>
      </c>
      <c r="AV125" s="13" t="s">
        <v>80</v>
      </c>
      <c r="AW125" s="13" t="s">
        <v>34</v>
      </c>
      <c r="AX125" s="13" t="s">
        <v>72</v>
      </c>
      <c r="AY125" s="151" t="s">
        <v>138</v>
      </c>
    </row>
    <row r="126" spans="1:65" s="14" customFormat="1">
      <c r="B126" s="156"/>
      <c r="D126" s="150" t="s">
        <v>145</v>
      </c>
      <c r="E126" s="157" t="s">
        <v>3</v>
      </c>
      <c r="F126" s="158">
        <v>14</v>
      </c>
      <c r="H126" s="159">
        <v>14</v>
      </c>
      <c r="L126" s="156"/>
      <c r="M126" s="160"/>
      <c r="N126" s="161"/>
      <c r="O126" s="161"/>
      <c r="P126" s="161"/>
      <c r="Q126" s="161"/>
      <c r="R126" s="161"/>
      <c r="S126" s="161"/>
      <c r="T126" s="162"/>
      <c r="AT126" s="157" t="s">
        <v>145</v>
      </c>
      <c r="AU126" s="157" t="s">
        <v>82</v>
      </c>
      <c r="AV126" s="14" t="s">
        <v>82</v>
      </c>
      <c r="AW126" s="14" t="s">
        <v>34</v>
      </c>
      <c r="AX126" s="14" t="s">
        <v>80</v>
      </c>
      <c r="AY126" s="157" t="s">
        <v>138</v>
      </c>
    </row>
    <row r="127" spans="1:65" s="2" customFormat="1" ht="37.9" customHeight="1">
      <c r="A127" s="31"/>
      <c r="B127" s="136"/>
      <c r="C127" s="137">
        <v>8</v>
      </c>
      <c r="D127" s="137" t="s">
        <v>141</v>
      </c>
      <c r="E127" s="138" t="s">
        <v>561</v>
      </c>
      <c r="F127" s="139" t="s">
        <v>562</v>
      </c>
      <c r="G127" s="140" t="s">
        <v>147</v>
      </c>
      <c r="H127" s="141">
        <v>5</v>
      </c>
      <c r="I127" s="142"/>
      <c r="J127" s="142">
        <f>ROUND(I127*H127,2)</f>
        <v>0</v>
      </c>
      <c r="K127" s="139" t="s">
        <v>148</v>
      </c>
      <c r="L127" s="32"/>
      <c r="M127" s="143" t="s">
        <v>3</v>
      </c>
      <c r="N127" s="144" t="s">
        <v>43</v>
      </c>
      <c r="O127" s="145">
        <v>0.51200000000000001</v>
      </c>
      <c r="P127" s="145">
        <f>O127*H127</f>
        <v>2.56</v>
      </c>
      <c r="Q127" s="145">
        <v>0</v>
      </c>
      <c r="R127" s="145">
        <f>Q127*H127</f>
        <v>0</v>
      </c>
      <c r="S127" s="145">
        <v>8.0000000000000002E-3</v>
      </c>
      <c r="T127" s="146">
        <f>S127*H127</f>
        <v>0.04</v>
      </c>
      <c r="U127" s="31"/>
      <c r="V127" s="31"/>
      <c r="W127" s="31"/>
      <c r="X127" s="31"/>
      <c r="Y127" s="31"/>
      <c r="Z127" s="31"/>
      <c r="AA127" s="31"/>
      <c r="AB127" s="31"/>
      <c r="AC127" s="31"/>
      <c r="AD127" s="31"/>
      <c r="AE127" s="31"/>
      <c r="AR127" s="147" t="s">
        <v>144</v>
      </c>
      <c r="AT127" s="147" t="s">
        <v>141</v>
      </c>
      <c r="AU127" s="147" t="s">
        <v>82</v>
      </c>
      <c r="AY127" s="19" t="s">
        <v>138</v>
      </c>
      <c r="BE127" s="148">
        <f>IF(N127="základní",J127,0)</f>
        <v>0</v>
      </c>
      <c r="BF127" s="148">
        <f>IF(N127="snížená",J127,0)</f>
        <v>0</v>
      </c>
      <c r="BG127" s="148">
        <f>IF(N127="zákl. přenesená",J127,0)</f>
        <v>0</v>
      </c>
      <c r="BH127" s="148">
        <f>IF(N127="sníž. přenesená",J127,0)</f>
        <v>0</v>
      </c>
      <c r="BI127" s="148">
        <f>IF(N127="nulová",J127,0)</f>
        <v>0</v>
      </c>
      <c r="BJ127" s="19" t="s">
        <v>80</v>
      </c>
      <c r="BK127" s="148">
        <f>ROUND(I127*H127,2)</f>
        <v>0</v>
      </c>
      <c r="BL127" s="19" t="s">
        <v>144</v>
      </c>
      <c r="BM127" s="147" t="s">
        <v>563</v>
      </c>
    </row>
    <row r="128" spans="1:65" s="13" customFormat="1">
      <c r="B128" s="149"/>
      <c r="D128" s="150" t="s">
        <v>145</v>
      </c>
      <c r="E128" s="151" t="s">
        <v>3</v>
      </c>
      <c r="F128" s="152" t="s">
        <v>548</v>
      </c>
      <c r="H128" s="151" t="s">
        <v>3</v>
      </c>
      <c r="L128" s="149"/>
      <c r="M128" s="153"/>
      <c r="N128" s="154"/>
      <c r="O128" s="154"/>
      <c r="P128" s="154"/>
      <c r="Q128" s="154"/>
      <c r="R128" s="154"/>
      <c r="S128" s="154"/>
      <c r="T128" s="155"/>
      <c r="AT128" s="151" t="s">
        <v>145</v>
      </c>
      <c r="AU128" s="151" t="s">
        <v>82</v>
      </c>
      <c r="AV128" s="13" t="s">
        <v>80</v>
      </c>
      <c r="AW128" s="13" t="s">
        <v>34</v>
      </c>
      <c r="AX128" s="13" t="s">
        <v>72</v>
      </c>
      <c r="AY128" s="151" t="s">
        <v>138</v>
      </c>
    </row>
    <row r="129" spans="1:65" s="14" customFormat="1">
      <c r="B129" s="156"/>
      <c r="D129" s="150" t="s">
        <v>145</v>
      </c>
      <c r="E129" s="157" t="s">
        <v>3</v>
      </c>
      <c r="F129" s="158" t="s">
        <v>1288</v>
      </c>
      <c r="H129" s="159">
        <v>5</v>
      </c>
      <c r="L129" s="156"/>
      <c r="M129" s="160"/>
      <c r="N129" s="161"/>
      <c r="O129" s="161"/>
      <c r="P129" s="161"/>
      <c r="Q129" s="161"/>
      <c r="R129" s="161"/>
      <c r="S129" s="161"/>
      <c r="T129" s="162"/>
      <c r="AT129" s="157" t="s">
        <v>145</v>
      </c>
      <c r="AU129" s="157" t="s">
        <v>82</v>
      </c>
      <c r="AV129" s="14" t="s">
        <v>82</v>
      </c>
      <c r="AW129" s="14" t="s">
        <v>34</v>
      </c>
      <c r="AX129" s="14" t="s">
        <v>80</v>
      </c>
      <c r="AY129" s="157" t="s">
        <v>138</v>
      </c>
    </row>
    <row r="130" spans="1:65" s="2" customFormat="1" ht="37.9" customHeight="1">
      <c r="A130" s="31"/>
      <c r="B130" s="136"/>
      <c r="C130" s="137">
        <v>9</v>
      </c>
      <c r="D130" s="137" t="s">
        <v>141</v>
      </c>
      <c r="E130" s="138" t="s">
        <v>564</v>
      </c>
      <c r="F130" s="139" t="s">
        <v>565</v>
      </c>
      <c r="G130" s="140" t="s">
        <v>187</v>
      </c>
      <c r="H130" s="141">
        <f>H135</f>
        <v>36.96</v>
      </c>
      <c r="I130" s="142"/>
      <c r="J130" s="142">
        <f>ROUND(I130*H130,2)</f>
        <v>0</v>
      </c>
      <c r="K130" s="139" t="s">
        <v>148</v>
      </c>
      <c r="L130" s="32"/>
      <c r="M130" s="143" t="s">
        <v>3</v>
      </c>
      <c r="N130" s="144" t="s">
        <v>43</v>
      </c>
      <c r="O130" s="145">
        <v>0.34200000000000003</v>
      </c>
      <c r="P130" s="145">
        <f>O130*H130</f>
        <v>12.640320000000001</v>
      </c>
      <c r="Q130" s="145">
        <v>0</v>
      </c>
      <c r="R130" s="145">
        <f>Q130*H130</f>
        <v>0</v>
      </c>
      <c r="S130" s="145">
        <v>1.7999999999999999E-2</v>
      </c>
      <c r="T130" s="146">
        <f>S130*H130</f>
        <v>0.66527999999999998</v>
      </c>
      <c r="U130" s="31"/>
      <c r="V130" s="31"/>
      <c r="W130" s="31"/>
      <c r="X130" s="31"/>
      <c r="Y130" s="31"/>
      <c r="Z130" s="31"/>
      <c r="AA130" s="31"/>
      <c r="AB130" s="31"/>
      <c r="AC130" s="31"/>
      <c r="AD130" s="31"/>
      <c r="AE130" s="31"/>
      <c r="AR130" s="147" t="s">
        <v>144</v>
      </c>
      <c r="AT130" s="147" t="s">
        <v>141</v>
      </c>
      <c r="AU130" s="147" t="s">
        <v>82</v>
      </c>
      <c r="AY130" s="19" t="s">
        <v>138</v>
      </c>
      <c r="BE130" s="148">
        <f>IF(N130="základní",J130,0)</f>
        <v>0</v>
      </c>
      <c r="BF130" s="148">
        <f>IF(N130="snížená",J130,0)</f>
        <v>0</v>
      </c>
      <c r="BG130" s="148">
        <f>IF(N130="zákl. přenesená",J130,0)</f>
        <v>0</v>
      </c>
      <c r="BH130" s="148">
        <f>IF(N130="sníž. přenesená",J130,0)</f>
        <v>0</v>
      </c>
      <c r="BI130" s="148">
        <f>IF(N130="nulová",J130,0)</f>
        <v>0</v>
      </c>
      <c r="BJ130" s="19" t="s">
        <v>80</v>
      </c>
      <c r="BK130" s="148">
        <f>ROUND(I130*H130,2)</f>
        <v>0</v>
      </c>
      <c r="BL130" s="19" t="s">
        <v>144</v>
      </c>
      <c r="BM130" s="147" t="s">
        <v>566</v>
      </c>
    </row>
    <row r="131" spans="1:65" s="13" customFormat="1">
      <c r="B131" s="149"/>
      <c r="D131" s="150" t="s">
        <v>145</v>
      </c>
      <c r="E131" s="151" t="s">
        <v>3</v>
      </c>
      <c r="F131" s="152" t="s">
        <v>1290</v>
      </c>
      <c r="H131" s="151" t="s">
        <v>3</v>
      </c>
      <c r="L131" s="149"/>
      <c r="M131" s="153"/>
      <c r="N131" s="154"/>
      <c r="O131" s="154"/>
      <c r="P131" s="154"/>
      <c r="Q131" s="154"/>
      <c r="R131" s="154"/>
      <c r="S131" s="154"/>
      <c r="T131" s="155"/>
      <c r="AT131" s="151" t="s">
        <v>145</v>
      </c>
      <c r="AU131" s="151" t="s">
        <v>82</v>
      </c>
      <c r="AV131" s="13" t="s">
        <v>80</v>
      </c>
      <c r="AW131" s="13" t="s">
        <v>34</v>
      </c>
      <c r="AX131" s="13" t="s">
        <v>72</v>
      </c>
      <c r="AY131" s="151" t="s">
        <v>138</v>
      </c>
    </row>
    <row r="132" spans="1:65" s="14" customFormat="1" ht="17.25" customHeight="1">
      <c r="B132" s="156"/>
      <c r="D132" s="150" t="s">
        <v>145</v>
      </c>
      <c r="E132" s="157" t="s">
        <v>3</v>
      </c>
      <c r="F132" s="312" t="s">
        <v>1341</v>
      </c>
      <c r="H132" s="159">
        <f>(1.75+1+1+1.5+1+2+1+2.5+4.5+3.5+0.75+0.6)*1.2</f>
        <v>25.32</v>
      </c>
      <c r="L132" s="156"/>
      <c r="M132" s="160"/>
      <c r="N132" s="161"/>
      <c r="O132" s="161"/>
      <c r="P132" s="161"/>
      <c r="Q132" s="161"/>
      <c r="R132" s="161"/>
      <c r="S132" s="161"/>
      <c r="T132" s="162"/>
      <c r="AT132" s="157" t="s">
        <v>145</v>
      </c>
      <c r="AU132" s="157" t="s">
        <v>82</v>
      </c>
      <c r="AV132" s="14" t="s">
        <v>82</v>
      </c>
      <c r="AW132" s="14" t="s">
        <v>34</v>
      </c>
      <c r="AX132" s="14" t="s">
        <v>80</v>
      </c>
      <c r="AY132" s="157" t="s">
        <v>138</v>
      </c>
    </row>
    <row r="133" spans="1:65" s="13" customFormat="1">
      <c r="B133" s="149"/>
      <c r="D133" s="150" t="s">
        <v>145</v>
      </c>
      <c r="E133" s="151" t="s">
        <v>3</v>
      </c>
      <c r="F133" s="152" t="s">
        <v>1291</v>
      </c>
      <c r="H133" s="151" t="s">
        <v>3</v>
      </c>
      <c r="L133" s="149"/>
      <c r="M133" s="153"/>
      <c r="N133" s="154"/>
      <c r="O133" s="154"/>
      <c r="P133" s="154"/>
      <c r="Q133" s="154"/>
      <c r="R133" s="154"/>
      <c r="S133" s="154"/>
      <c r="T133" s="155"/>
      <c r="AT133" s="151" t="s">
        <v>145</v>
      </c>
      <c r="AU133" s="151" t="s">
        <v>82</v>
      </c>
      <c r="AV133" s="13" t="s">
        <v>80</v>
      </c>
      <c r="AW133" s="13" t="s">
        <v>34</v>
      </c>
      <c r="AX133" s="13" t="s">
        <v>72</v>
      </c>
      <c r="AY133" s="151" t="s">
        <v>138</v>
      </c>
    </row>
    <row r="134" spans="1:65" s="14" customFormat="1" ht="21">
      <c r="B134" s="156"/>
      <c r="D134" s="150" t="s">
        <v>145</v>
      </c>
      <c r="E134" s="157" t="s">
        <v>3</v>
      </c>
      <c r="F134" s="312" t="s">
        <v>1343</v>
      </c>
      <c r="H134" s="159">
        <f>(0.25+0.25+1+1.2+0.75+0.75+1+1+1.5+0.5+1+0.5)*1.2</f>
        <v>11.639999999999999</v>
      </c>
      <c r="L134" s="156"/>
      <c r="M134" s="160"/>
      <c r="N134" s="161"/>
      <c r="O134" s="161"/>
      <c r="P134" s="161"/>
      <c r="Q134" s="161"/>
      <c r="R134" s="161"/>
      <c r="S134" s="161"/>
      <c r="T134" s="162"/>
      <c r="AT134" s="157" t="s">
        <v>145</v>
      </c>
      <c r="AU134" s="157" t="s">
        <v>82</v>
      </c>
      <c r="AV134" s="14" t="s">
        <v>82</v>
      </c>
      <c r="AW134" s="14" t="s">
        <v>34</v>
      </c>
      <c r="AX134" s="14" t="s">
        <v>80</v>
      </c>
      <c r="AY134" s="157" t="s">
        <v>138</v>
      </c>
    </row>
    <row r="135" spans="1:65" s="15" customFormat="1">
      <c r="B135" s="166"/>
      <c r="D135" s="150" t="s">
        <v>145</v>
      </c>
      <c r="E135" s="167" t="s">
        <v>3</v>
      </c>
      <c r="F135" s="168" t="s">
        <v>151</v>
      </c>
      <c r="H135" s="169">
        <f>H132+H134</f>
        <v>36.96</v>
      </c>
      <c r="L135" s="166"/>
      <c r="M135" s="170"/>
      <c r="N135" s="171"/>
      <c r="O135" s="171"/>
      <c r="P135" s="171"/>
      <c r="Q135" s="171"/>
      <c r="R135" s="171"/>
      <c r="S135" s="171"/>
      <c r="T135" s="172"/>
      <c r="AT135" s="167" t="s">
        <v>145</v>
      </c>
      <c r="AU135" s="167" t="s">
        <v>82</v>
      </c>
      <c r="AV135" s="15" t="s">
        <v>144</v>
      </c>
      <c r="AW135" s="15" t="s">
        <v>34</v>
      </c>
      <c r="AX135" s="15" t="s">
        <v>80</v>
      </c>
      <c r="AY135" s="167" t="s">
        <v>138</v>
      </c>
    </row>
    <row r="136" spans="1:65" s="2" customFormat="1" ht="37.9" customHeight="1">
      <c r="A136" s="31"/>
      <c r="B136" s="136"/>
      <c r="C136" s="137">
        <v>10</v>
      </c>
      <c r="D136" s="137" t="s">
        <v>141</v>
      </c>
      <c r="E136" s="138" t="s">
        <v>567</v>
      </c>
      <c r="F136" s="139" t="s">
        <v>568</v>
      </c>
      <c r="G136" s="140" t="s">
        <v>187</v>
      </c>
      <c r="H136" s="141">
        <f>H138</f>
        <v>3.5999999999999996</v>
      </c>
      <c r="I136" s="142"/>
      <c r="J136" s="142">
        <f>ROUND(I136*H136,2)</f>
        <v>0</v>
      </c>
      <c r="K136" s="139" t="s">
        <v>148</v>
      </c>
      <c r="L136" s="32"/>
      <c r="M136" s="143" t="s">
        <v>3</v>
      </c>
      <c r="N136" s="144" t="s">
        <v>43</v>
      </c>
      <c r="O136" s="145">
        <v>0.66800000000000004</v>
      </c>
      <c r="P136" s="145">
        <f>O136*H136</f>
        <v>2.4047999999999998</v>
      </c>
      <c r="Q136" s="145">
        <v>0</v>
      </c>
      <c r="R136" s="145">
        <f>Q136*H136</f>
        <v>0</v>
      </c>
      <c r="S136" s="145">
        <v>0.04</v>
      </c>
      <c r="T136" s="146">
        <f>S136*H136</f>
        <v>0.14399999999999999</v>
      </c>
      <c r="U136" s="31"/>
      <c r="V136" s="31"/>
      <c r="W136" s="31"/>
      <c r="X136" s="31"/>
      <c r="Y136" s="31"/>
      <c r="Z136" s="31"/>
      <c r="AA136" s="31"/>
      <c r="AB136" s="31"/>
      <c r="AC136" s="31"/>
      <c r="AD136" s="31"/>
      <c r="AE136" s="31"/>
      <c r="AR136" s="147" t="s">
        <v>144</v>
      </c>
      <c r="AT136" s="147" t="s">
        <v>141</v>
      </c>
      <c r="AU136" s="147" t="s">
        <v>82</v>
      </c>
      <c r="AY136" s="19" t="s">
        <v>138</v>
      </c>
      <c r="BE136" s="148">
        <f>IF(N136="základní",J136,0)</f>
        <v>0</v>
      </c>
      <c r="BF136" s="148">
        <f>IF(N136="snížená",J136,0)</f>
        <v>0</v>
      </c>
      <c r="BG136" s="148">
        <f>IF(N136="zákl. přenesená",J136,0)</f>
        <v>0</v>
      </c>
      <c r="BH136" s="148">
        <f>IF(N136="sníž. přenesená",J136,0)</f>
        <v>0</v>
      </c>
      <c r="BI136" s="148">
        <f>IF(N136="nulová",J136,0)</f>
        <v>0</v>
      </c>
      <c r="BJ136" s="19" t="s">
        <v>80</v>
      </c>
      <c r="BK136" s="148">
        <f>ROUND(I136*H136,2)</f>
        <v>0</v>
      </c>
      <c r="BL136" s="19" t="s">
        <v>144</v>
      </c>
      <c r="BM136" s="147" t="s">
        <v>569</v>
      </c>
    </row>
    <row r="137" spans="1:65" s="13" customFormat="1">
      <c r="B137" s="149"/>
      <c r="D137" s="150" t="s">
        <v>145</v>
      </c>
      <c r="E137" s="151" t="s">
        <v>3</v>
      </c>
      <c r="F137" s="152" t="s">
        <v>1344</v>
      </c>
      <c r="H137" s="151" t="s">
        <v>3</v>
      </c>
      <c r="L137" s="149"/>
      <c r="M137" s="153"/>
      <c r="N137" s="154"/>
      <c r="O137" s="154"/>
      <c r="P137" s="154"/>
      <c r="Q137" s="154"/>
      <c r="R137" s="154"/>
      <c r="S137" s="154"/>
      <c r="T137" s="155"/>
      <c r="AT137" s="151" t="s">
        <v>145</v>
      </c>
      <c r="AU137" s="151" t="s">
        <v>82</v>
      </c>
      <c r="AV137" s="13" t="s">
        <v>80</v>
      </c>
      <c r="AW137" s="13" t="s">
        <v>34</v>
      </c>
      <c r="AX137" s="13" t="s">
        <v>72</v>
      </c>
      <c r="AY137" s="151" t="s">
        <v>138</v>
      </c>
    </row>
    <row r="138" spans="1:65" s="14" customFormat="1">
      <c r="B138" s="156"/>
      <c r="D138" s="150" t="s">
        <v>145</v>
      </c>
      <c r="E138" s="157" t="s">
        <v>3</v>
      </c>
      <c r="F138" s="158" t="s">
        <v>1345</v>
      </c>
      <c r="H138" s="159">
        <f>3*1.2</f>
        <v>3.5999999999999996</v>
      </c>
      <c r="L138" s="156"/>
      <c r="M138" s="160"/>
      <c r="N138" s="161"/>
      <c r="O138" s="161"/>
      <c r="P138" s="161"/>
      <c r="Q138" s="161"/>
      <c r="R138" s="161"/>
      <c r="S138" s="161"/>
      <c r="T138" s="162"/>
      <c r="AT138" s="157" t="s">
        <v>145</v>
      </c>
      <c r="AU138" s="157" t="s">
        <v>82</v>
      </c>
      <c r="AV138" s="14" t="s">
        <v>82</v>
      </c>
      <c r="AW138" s="14" t="s">
        <v>34</v>
      </c>
      <c r="AX138" s="14" t="s">
        <v>80</v>
      </c>
      <c r="AY138" s="157" t="s">
        <v>138</v>
      </c>
    </row>
    <row r="139" spans="1:65" s="12" customFormat="1" ht="22.9" customHeight="1">
      <c r="B139" s="124"/>
      <c r="D139" s="125" t="s">
        <v>71</v>
      </c>
      <c r="E139" s="134" t="s">
        <v>265</v>
      </c>
      <c r="F139" s="134" t="s">
        <v>266</v>
      </c>
      <c r="J139" s="135">
        <f>BK139</f>
        <v>0</v>
      </c>
      <c r="L139" s="124"/>
      <c r="M139" s="128"/>
      <c r="N139" s="129"/>
      <c r="O139" s="129"/>
      <c r="P139" s="130">
        <f>SUM(P140:P152)</f>
        <v>4.0290495599999998</v>
      </c>
      <c r="Q139" s="129"/>
      <c r="R139" s="130">
        <f>SUM(R140:R152)</f>
        <v>0</v>
      </c>
      <c r="S139" s="129"/>
      <c r="T139" s="131">
        <f>SUM(T140:T152)</f>
        <v>0</v>
      </c>
      <c r="AR139" s="125" t="s">
        <v>80</v>
      </c>
      <c r="AT139" s="132" t="s">
        <v>71</v>
      </c>
      <c r="AU139" s="132" t="s">
        <v>80</v>
      </c>
      <c r="AY139" s="125" t="s">
        <v>138</v>
      </c>
      <c r="BK139" s="133">
        <f>SUM(BK140:BK152)</f>
        <v>0</v>
      </c>
    </row>
    <row r="140" spans="1:65" s="2" customFormat="1" ht="37.9" customHeight="1">
      <c r="A140" s="31"/>
      <c r="B140" s="136"/>
      <c r="C140" s="137">
        <v>11</v>
      </c>
      <c r="D140" s="137" t="s">
        <v>141</v>
      </c>
      <c r="E140" s="138" t="s">
        <v>267</v>
      </c>
      <c r="F140" s="139" t="s">
        <v>268</v>
      </c>
      <c r="G140" s="140" t="s">
        <v>160</v>
      </c>
      <c r="H140" s="141">
        <f>((14*0.0225*0.15)+(5*0.0225*0.3)+(36.96*0.1*0.1)+(3.6*0.15*0.15))*1.9</f>
        <v>1.0100399999999998</v>
      </c>
      <c r="I140" s="142"/>
      <c r="J140" s="142">
        <f>ROUND(I140*H140,2)</f>
        <v>0</v>
      </c>
      <c r="K140" s="139" t="s">
        <v>148</v>
      </c>
      <c r="L140" s="32"/>
      <c r="M140" s="143" t="s">
        <v>3</v>
      </c>
      <c r="N140" s="144" t="s">
        <v>43</v>
      </c>
      <c r="O140" s="145">
        <v>2.42</v>
      </c>
      <c r="P140" s="145">
        <f>O140*H140</f>
        <v>2.4442967999999996</v>
      </c>
      <c r="Q140" s="145">
        <v>0</v>
      </c>
      <c r="R140" s="145">
        <f>Q140*H140</f>
        <v>0</v>
      </c>
      <c r="S140" s="145">
        <v>0</v>
      </c>
      <c r="T140" s="146">
        <f>S140*H140</f>
        <v>0</v>
      </c>
      <c r="U140" s="31"/>
      <c r="V140" s="31"/>
      <c r="W140" s="31"/>
      <c r="X140" s="31"/>
      <c r="Y140" s="31"/>
      <c r="Z140" s="31"/>
      <c r="AA140" s="31"/>
      <c r="AB140" s="31"/>
      <c r="AC140" s="31"/>
      <c r="AD140" s="31"/>
      <c r="AE140" s="31"/>
      <c r="AR140" s="147" t="s">
        <v>144</v>
      </c>
      <c r="AT140" s="147" t="s">
        <v>141</v>
      </c>
      <c r="AU140" s="147" t="s">
        <v>82</v>
      </c>
      <c r="AY140" s="19" t="s">
        <v>138</v>
      </c>
      <c r="BE140" s="148">
        <f>IF(N140="základní",J140,0)</f>
        <v>0</v>
      </c>
      <c r="BF140" s="148">
        <f>IF(N140="snížená",J140,0)</f>
        <v>0</v>
      </c>
      <c r="BG140" s="148">
        <f>IF(N140="zákl. přenesená",J140,0)</f>
        <v>0</v>
      </c>
      <c r="BH140" s="148">
        <f>IF(N140="sníž. přenesená",J140,0)</f>
        <v>0</v>
      </c>
      <c r="BI140" s="148">
        <f>IF(N140="nulová",J140,0)</f>
        <v>0</v>
      </c>
      <c r="BJ140" s="19" t="s">
        <v>80</v>
      </c>
      <c r="BK140" s="148">
        <f>ROUND(I140*H140,2)</f>
        <v>0</v>
      </c>
      <c r="BL140" s="19" t="s">
        <v>144</v>
      </c>
      <c r="BM140" s="147" t="s">
        <v>571</v>
      </c>
    </row>
    <row r="141" spans="1:65" s="2" customFormat="1" ht="146.25">
      <c r="A141" s="31"/>
      <c r="B141" s="32"/>
      <c r="C141" s="31"/>
      <c r="D141" s="150" t="s">
        <v>149</v>
      </c>
      <c r="E141" s="31"/>
      <c r="F141" s="163" t="s">
        <v>270</v>
      </c>
      <c r="G141" s="31"/>
      <c r="H141" s="31"/>
      <c r="I141" s="31"/>
      <c r="J141" s="31"/>
      <c r="K141" s="31"/>
      <c r="L141" s="32"/>
      <c r="M141" s="164"/>
      <c r="N141" s="165"/>
      <c r="O141" s="52"/>
      <c r="P141" s="52"/>
      <c r="Q141" s="52"/>
      <c r="R141" s="52"/>
      <c r="S141" s="52"/>
      <c r="T141" s="53"/>
      <c r="U141" s="31"/>
      <c r="V141" s="31"/>
      <c r="W141" s="31"/>
      <c r="X141" s="31"/>
      <c r="Y141" s="31"/>
      <c r="Z141" s="31"/>
      <c r="AA141" s="31"/>
      <c r="AB141" s="31"/>
      <c r="AC141" s="31"/>
      <c r="AD141" s="31"/>
      <c r="AE141" s="31"/>
      <c r="AT141" s="19" t="s">
        <v>149</v>
      </c>
      <c r="AU141" s="19" t="s">
        <v>82</v>
      </c>
    </row>
    <row r="142" spans="1:65" s="2" customFormat="1" ht="62.65" customHeight="1">
      <c r="A142" s="31"/>
      <c r="B142" s="136"/>
      <c r="C142" s="137">
        <v>12</v>
      </c>
      <c r="D142" s="137" t="s">
        <v>141</v>
      </c>
      <c r="E142" s="138" t="s">
        <v>271</v>
      </c>
      <c r="F142" s="139" t="s">
        <v>272</v>
      </c>
      <c r="G142" s="140" t="s">
        <v>160</v>
      </c>
      <c r="H142" s="141">
        <f>H144</f>
        <v>5.0501999999999994</v>
      </c>
      <c r="I142" s="142"/>
      <c r="J142" s="142">
        <f>ROUND(I142*H142,2)</f>
        <v>0</v>
      </c>
      <c r="K142" s="139" t="s">
        <v>148</v>
      </c>
      <c r="L142" s="32"/>
      <c r="M142" s="143" t="s">
        <v>3</v>
      </c>
      <c r="N142" s="144" t="s">
        <v>43</v>
      </c>
      <c r="O142" s="145">
        <v>0.26</v>
      </c>
      <c r="P142" s="145">
        <f>O142*H142</f>
        <v>1.3130519999999999</v>
      </c>
      <c r="Q142" s="145">
        <v>0</v>
      </c>
      <c r="R142" s="145">
        <f>Q142*H142</f>
        <v>0</v>
      </c>
      <c r="S142" s="145">
        <v>0</v>
      </c>
      <c r="T142" s="146">
        <f>S142*H142</f>
        <v>0</v>
      </c>
      <c r="U142" s="31"/>
      <c r="V142" s="31"/>
      <c r="W142" s="31"/>
      <c r="X142" s="31"/>
      <c r="Y142" s="31"/>
      <c r="Z142" s="31"/>
      <c r="AA142" s="31"/>
      <c r="AB142" s="31"/>
      <c r="AC142" s="31"/>
      <c r="AD142" s="31"/>
      <c r="AE142" s="31"/>
      <c r="AR142" s="147" t="s">
        <v>144</v>
      </c>
      <c r="AT142" s="147" t="s">
        <v>141</v>
      </c>
      <c r="AU142" s="147" t="s">
        <v>82</v>
      </c>
      <c r="AY142" s="19" t="s">
        <v>138</v>
      </c>
      <c r="BE142" s="148">
        <f>IF(N142="základní",J142,0)</f>
        <v>0</v>
      </c>
      <c r="BF142" s="148">
        <f>IF(N142="snížená",J142,0)</f>
        <v>0</v>
      </c>
      <c r="BG142" s="148">
        <f>IF(N142="zákl. přenesená",J142,0)</f>
        <v>0</v>
      </c>
      <c r="BH142" s="148">
        <f>IF(N142="sníž. přenesená",J142,0)</f>
        <v>0</v>
      </c>
      <c r="BI142" s="148">
        <f>IF(N142="nulová",J142,0)</f>
        <v>0</v>
      </c>
      <c r="BJ142" s="19" t="s">
        <v>80</v>
      </c>
      <c r="BK142" s="148">
        <f>ROUND(I142*H142,2)</f>
        <v>0</v>
      </c>
      <c r="BL142" s="19" t="s">
        <v>144</v>
      </c>
      <c r="BM142" s="147" t="s">
        <v>572</v>
      </c>
    </row>
    <row r="143" spans="1:65" s="2" customFormat="1" ht="146.25">
      <c r="A143" s="31"/>
      <c r="B143" s="32"/>
      <c r="C143" s="31"/>
      <c r="D143" s="150" t="s">
        <v>149</v>
      </c>
      <c r="E143" s="31"/>
      <c r="F143" s="163" t="s">
        <v>270</v>
      </c>
      <c r="G143" s="31"/>
      <c r="H143" s="31"/>
      <c r="I143" s="31"/>
      <c r="J143" s="31"/>
      <c r="K143" s="31"/>
      <c r="L143" s="32"/>
      <c r="M143" s="164"/>
      <c r="N143" s="165"/>
      <c r="O143" s="52"/>
      <c r="P143" s="52"/>
      <c r="Q143" s="52"/>
      <c r="R143" s="52"/>
      <c r="S143" s="52"/>
      <c r="T143" s="53"/>
      <c r="U143" s="31"/>
      <c r="V143" s="31"/>
      <c r="W143" s="31"/>
      <c r="X143" s="31"/>
      <c r="Y143" s="31"/>
      <c r="Z143" s="31"/>
      <c r="AA143" s="31"/>
      <c r="AB143" s="31"/>
      <c r="AC143" s="31"/>
      <c r="AD143" s="31"/>
      <c r="AE143" s="31"/>
      <c r="AT143" s="19" t="s">
        <v>149</v>
      </c>
      <c r="AU143" s="19" t="s">
        <v>82</v>
      </c>
    </row>
    <row r="144" spans="1:65" s="14" customFormat="1">
      <c r="B144" s="156"/>
      <c r="D144" s="150" t="s">
        <v>145</v>
      </c>
      <c r="F144" s="158" t="s">
        <v>1348</v>
      </c>
      <c r="H144" s="159">
        <f>H140*5</f>
        <v>5.0501999999999994</v>
      </c>
      <c r="L144" s="156"/>
      <c r="M144" s="160"/>
      <c r="N144" s="161"/>
      <c r="O144" s="161"/>
      <c r="P144" s="161"/>
      <c r="Q144" s="161"/>
      <c r="R144" s="161"/>
      <c r="S144" s="161"/>
      <c r="T144" s="162"/>
      <c r="AT144" s="157" t="s">
        <v>145</v>
      </c>
      <c r="AU144" s="157" t="s">
        <v>82</v>
      </c>
      <c r="AV144" s="14" t="s">
        <v>82</v>
      </c>
      <c r="AW144" s="14" t="s">
        <v>4</v>
      </c>
      <c r="AX144" s="14" t="s">
        <v>80</v>
      </c>
      <c r="AY144" s="157" t="s">
        <v>138</v>
      </c>
    </row>
    <row r="145" spans="1:65" s="2" customFormat="1" ht="24.2" customHeight="1">
      <c r="A145" s="31"/>
      <c r="B145" s="136"/>
      <c r="C145" s="137">
        <v>13</v>
      </c>
      <c r="D145" s="137" t="s">
        <v>141</v>
      </c>
      <c r="E145" s="138" t="s">
        <v>274</v>
      </c>
      <c r="F145" s="139" t="s">
        <v>275</v>
      </c>
      <c r="G145" s="140" t="s">
        <v>160</v>
      </c>
      <c r="H145" s="141">
        <f>H140</f>
        <v>1.0100399999999998</v>
      </c>
      <c r="I145" s="142"/>
      <c r="J145" s="142">
        <f>ROUND(I145*H145,2)</f>
        <v>0</v>
      </c>
      <c r="K145" s="139" t="s">
        <v>148</v>
      </c>
      <c r="L145" s="32"/>
      <c r="M145" s="143" t="s">
        <v>3</v>
      </c>
      <c r="N145" s="144" t="s">
        <v>43</v>
      </c>
      <c r="O145" s="145">
        <v>0.125</v>
      </c>
      <c r="P145" s="145">
        <f>O145*H145</f>
        <v>0.12625499999999998</v>
      </c>
      <c r="Q145" s="145">
        <v>0</v>
      </c>
      <c r="R145" s="145">
        <f>Q145*H145</f>
        <v>0</v>
      </c>
      <c r="S145" s="145">
        <v>0</v>
      </c>
      <c r="T145" s="146">
        <f>S145*H145</f>
        <v>0</v>
      </c>
      <c r="U145" s="31"/>
      <c r="V145" s="31"/>
      <c r="W145" s="31"/>
      <c r="X145" s="31"/>
      <c r="Y145" s="31"/>
      <c r="Z145" s="31"/>
      <c r="AA145" s="31"/>
      <c r="AB145" s="31"/>
      <c r="AC145" s="31"/>
      <c r="AD145" s="31"/>
      <c r="AE145" s="31"/>
      <c r="AR145" s="147" t="s">
        <v>144</v>
      </c>
      <c r="AT145" s="147" t="s">
        <v>141</v>
      </c>
      <c r="AU145" s="147" t="s">
        <v>82</v>
      </c>
      <c r="AY145" s="19" t="s">
        <v>138</v>
      </c>
      <c r="BE145" s="148">
        <f>IF(N145="základní",J145,0)</f>
        <v>0</v>
      </c>
      <c r="BF145" s="148">
        <f>IF(N145="snížená",J145,0)</f>
        <v>0</v>
      </c>
      <c r="BG145" s="148">
        <f>IF(N145="zákl. přenesená",J145,0)</f>
        <v>0</v>
      </c>
      <c r="BH145" s="148">
        <f>IF(N145="sníž. přenesená",J145,0)</f>
        <v>0</v>
      </c>
      <c r="BI145" s="148">
        <f>IF(N145="nulová",J145,0)</f>
        <v>0</v>
      </c>
      <c r="BJ145" s="19" t="s">
        <v>80</v>
      </c>
      <c r="BK145" s="148">
        <f>ROUND(I145*H145,2)</f>
        <v>0</v>
      </c>
      <c r="BL145" s="19" t="s">
        <v>144</v>
      </c>
      <c r="BM145" s="147" t="s">
        <v>573</v>
      </c>
    </row>
    <row r="146" spans="1:65" s="2" customFormat="1" ht="97.5">
      <c r="A146" s="31"/>
      <c r="B146" s="32"/>
      <c r="C146" s="31"/>
      <c r="D146" s="150" t="s">
        <v>149</v>
      </c>
      <c r="E146" s="31"/>
      <c r="F146" s="163" t="s">
        <v>277</v>
      </c>
      <c r="G146" s="31"/>
      <c r="H146" s="31"/>
      <c r="I146" s="31"/>
      <c r="J146" s="31"/>
      <c r="K146" s="31"/>
      <c r="L146" s="32"/>
      <c r="M146" s="164"/>
      <c r="N146" s="165"/>
      <c r="O146" s="52"/>
      <c r="P146" s="52"/>
      <c r="Q146" s="52"/>
      <c r="R146" s="52"/>
      <c r="S146" s="52"/>
      <c r="T146" s="53"/>
      <c r="U146" s="31"/>
      <c r="V146" s="31"/>
      <c r="W146" s="31"/>
      <c r="X146" s="31"/>
      <c r="Y146" s="31"/>
      <c r="Z146" s="31"/>
      <c r="AA146" s="31"/>
      <c r="AB146" s="31"/>
      <c r="AC146" s="31"/>
      <c r="AD146" s="31"/>
      <c r="AE146" s="31"/>
      <c r="AT146" s="19" t="s">
        <v>149</v>
      </c>
      <c r="AU146" s="19" t="s">
        <v>82</v>
      </c>
    </row>
    <row r="147" spans="1:65" s="2" customFormat="1" ht="37.9" customHeight="1">
      <c r="A147" s="31"/>
      <c r="B147" s="136"/>
      <c r="C147" s="137">
        <v>14</v>
      </c>
      <c r="D147" s="137" t="s">
        <v>141</v>
      </c>
      <c r="E147" s="138" t="s">
        <v>278</v>
      </c>
      <c r="F147" s="139" t="s">
        <v>279</v>
      </c>
      <c r="G147" s="140" t="s">
        <v>160</v>
      </c>
      <c r="H147" s="141">
        <f>H149</f>
        <v>24.240959999999994</v>
      </c>
      <c r="I147" s="142"/>
      <c r="J147" s="142">
        <f>ROUND(I147*H147,2)</f>
        <v>0</v>
      </c>
      <c r="K147" s="139" t="s">
        <v>148</v>
      </c>
      <c r="L147" s="32"/>
      <c r="M147" s="143" t="s">
        <v>3</v>
      </c>
      <c r="N147" s="144" t="s">
        <v>43</v>
      </c>
      <c r="O147" s="145">
        <v>6.0000000000000001E-3</v>
      </c>
      <c r="P147" s="145">
        <f>O147*H147</f>
        <v>0.14544575999999998</v>
      </c>
      <c r="Q147" s="145">
        <v>0</v>
      </c>
      <c r="R147" s="145">
        <f>Q147*H147</f>
        <v>0</v>
      </c>
      <c r="S147" s="145">
        <v>0</v>
      </c>
      <c r="T147" s="146">
        <f>S147*H147</f>
        <v>0</v>
      </c>
      <c r="U147" s="31"/>
      <c r="V147" s="31"/>
      <c r="W147" s="31"/>
      <c r="X147" s="31"/>
      <c r="Y147" s="31"/>
      <c r="Z147" s="31"/>
      <c r="AA147" s="31"/>
      <c r="AB147" s="31"/>
      <c r="AC147" s="31"/>
      <c r="AD147" s="31"/>
      <c r="AE147" s="31"/>
      <c r="AR147" s="147" t="s">
        <v>144</v>
      </c>
      <c r="AT147" s="147" t="s">
        <v>141</v>
      </c>
      <c r="AU147" s="147" t="s">
        <v>82</v>
      </c>
      <c r="AY147" s="19" t="s">
        <v>138</v>
      </c>
      <c r="BE147" s="148">
        <f>IF(N147="základní",J147,0)</f>
        <v>0</v>
      </c>
      <c r="BF147" s="148">
        <f>IF(N147="snížená",J147,0)</f>
        <v>0</v>
      </c>
      <c r="BG147" s="148">
        <f>IF(N147="zákl. přenesená",J147,0)</f>
        <v>0</v>
      </c>
      <c r="BH147" s="148">
        <f>IF(N147="sníž. přenesená",J147,0)</f>
        <v>0</v>
      </c>
      <c r="BI147" s="148">
        <f>IF(N147="nulová",J147,0)</f>
        <v>0</v>
      </c>
      <c r="BJ147" s="19" t="s">
        <v>80</v>
      </c>
      <c r="BK147" s="148">
        <f>ROUND(I147*H147,2)</f>
        <v>0</v>
      </c>
      <c r="BL147" s="19" t="s">
        <v>144</v>
      </c>
      <c r="BM147" s="147" t="s">
        <v>574</v>
      </c>
    </row>
    <row r="148" spans="1:65" s="2" customFormat="1" ht="97.5">
      <c r="A148" s="31"/>
      <c r="B148" s="32"/>
      <c r="C148" s="31"/>
      <c r="D148" s="150" t="s">
        <v>149</v>
      </c>
      <c r="E148" s="31"/>
      <c r="F148" s="163" t="s">
        <v>277</v>
      </c>
      <c r="G148" s="31"/>
      <c r="H148" s="31"/>
      <c r="I148" s="31"/>
      <c r="J148" s="31"/>
      <c r="K148" s="31"/>
      <c r="L148" s="32"/>
      <c r="M148" s="164"/>
      <c r="N148" s="165"/>
      <c r="O148" s="52"/>
      <c r="P148" s="52"/>
      <c r="Q148" s="52"/>
      <c r="R148" s="52"/>
      <c r="S148" s="52"/>
      <c r="T148" s="53"/>
      <c r="U148" s="31"/>
      <c r="V148" s="31"/>
      <c r="W148" s="31"/>
      <c r="X148" s="31"/>
      <c r="Y148" s="31"/>
      <c r="Z148" s="31"/>
      <c r="AA148" s="31"/>
      <c r="AB148" s="31"/>
      <c r="AC148" s="31"/>
      <c r="AD148" s="31"/>
      <c r="AE148" s="31"/>
      <c r="AT148" s="19" t="s">
        <v>149</v>
      </c>
      <c r="AU148" s="19" t="s">
        <v>82</v>
      </c>
    </row>
    <row r="149" spans="1:65" s="14" customFormat="1">
      <c r="B149" s="156"/>
      <c r="D149" s="150" t="s">
        <v>145</v>
      </c>
      <c r="F149" s="158" t="s">
        <v>1349</v>
      </c>
      <c r="H149" s="159">
        <f>H145*24</f>
        <v>24.240959999999994</v>
      </c>
      <c r="L149" s="156"/>
      <c r="M149" s="160"/>
      <c r="N149" s="161"/>
      <c r="O149" s="161"/>
      <c r="P149" s="161"/>
      <c r="Q149" s="161"/>
      <c r="R149" s="161"/>
      <c r="S149" s="161"/>
      <c r="T149" s="162"/>
      <c r="AT149" s="157" t="s">
        <v>145</v>
      </c>
      <c r="AU149" s="157" t="s">
        <v>82</v>
      </c>
      <c r="AV149" s="14" t="s">
        <v>82</v>
      </c>
      <c r="AW149" s="14" t="s">
        <v>4</v>
      </c>
      <c r="AX149" s="14" t="s">
        <v>80</v>
      </c>
      <c r="AY149" s="157" t="s">
        <v>138</v>
      </c>
    </row>
    <row r="150" spans="1:65" s="2" customFormat="1" ht="37.9" customHeight="1">
      <c r="A150" s="31"/>
      <c r="B150" s="136"/>
      <c r="C150" s="137">
        <v>15</v>
      </c>
      <c r="D150" s="137" t="s">
        <v>141</v>
      </c>
      <c r="E150" s="138" t="s">
        <v>281</v>
      </c>
      <c r="F150" s="139" t="s">
        <v>282</v>
      </c>
      <c r="G150" s="140" t="s">
        <v>160</v>
      </c>
      <c r="H150" s="141">
        <f>H145</f>
        <v>1.0100399999999998</v>
      </c>
      <c r="I150" s="142"/>
      <c r="J150" s="142">
        <f>ROUND(I150*H150,2)</f>
        <v>0</v>
      </c>
      <c r="K150" s="139" t="s">
        <v>148</v>
      </c>
      <c r="L150" s="32"/>
      <c r="M150" s="143" t="s">
        <v>3</v>
      </c>
      <c r="N150" s="144" t="s">
        <v>43</v>
      </c>
      <c r="O150" s="145">
        <v>0</v>
      </c>
      <c r="P150" s="145">
        <f>O150*H150</f>
        <v>0</v>
      </c>
      <c r="Q150" s="145">
        <v>0</v>
      </c>
      <c r="R150" s="145">
        <f>Q150*H150</f>
        <v>0</v>
      </c>
      <c r="S150" s="145">
        <v>0</v>
      </c>
      <c r="T150" s="146">
        <f>S150*H150</f>
        <v>0</v>
      </c>
      <c r="U150" s="31"/>
      <c r="V150" s="31"/>
      <c r="W150" s="31"/>
      <c r="X150" s="31"/>
      <c r="Y150" s="31"/>
      <c r="Z150" s="31"/>
      <c r="AA150" s="31"/>
      <c r="AB150" s="31"/>
      <c r="AC150" s="31"/>
      <c r="AD150" s="31"/>
      <c r="AE150" s="31"/>
      <c r="AR150" s="147" t="s">
        <v>144</v>
      </c>
      <c r="AT150" s="147" t="s">
        <v>141</v>
      </c>
      <c r="AU150" s="147" t="s">
        <v>82</v>
      </c>
      <c r="AY150" s="19" t="s">
        <v>138</v>
      </c>
      <c r="BE150" s="148">
        <f>IF(N150="základní",J150,0)</f>
        <v>0</v>
      </c>
      <c r="BF150" s="148">
        <f>IF(N150="snížená",J150,0)</f>
        <v>0</v>
      </c>
      <c r="BG150" s="148">
        <f>IF(N150="zákl. přenesená",J150,0)</f>
        <v>0</v>
      </c>
      <c r="BH150" s="148">
        <f>IF(N150="sníž. přenesená",J150,0)</f>
        <v>0</v>
      </c>
      <c r="BI150" s="148">
        <f>IF(N150="nulová",J150,0)</f>
        <v>0</v>
      </c>
      <c r="BJ150" s="19" t="s">
        <v>80</v>
      </c>
      <c r="BK150" s="148">
        <f>ROUND(I150*H150,2)</f>
        <v>0</v>
      </c>
      <c r="BL150" s="19" t="s">
        <v>144</v>
      </c>
      <c r="BM150" s="147" t="s">
        <v>575</v>
      </c>
    </row>
    <row r="151" spans="1:65" s="2" customFormat="1" ht="107.25">
      <c r="A151" s="31"/>
      <c r="B151" s="32"/>
      <c r="C151" s="31"/>
      <c r="D151" s="150" t="s">
        <v>149</v>
      </c>
      <c r="E151" s="31"/>
      <c r="F151" s="163" t="s">
        <v>284</v>
      </c>
      <c r="G151" s="31"/>
      <c r="H151" s="31"/>
      <c r="I151" s="31"/>
      <c r="J151" s="31"/>
      <c r="K151" s="31"/>
      <c r="L151" s="32"/>
      <c r="M151" s="164"/>
      <c r="N151" s="165"/>
      <c r="O151" s="52"/>
      <c r="P151" s="52"/>
      <c r="Q151" s="52"/>
      <c r="R151" s="52"/>
      <c r="S151" s="52"/>
      <c r="T151" s="53"/>
      <c r="U151" s="31"/>
      <c r="V151" s="31"/>
      <c r="W151" s="31"/>
      <c r="X151" s="31"/>
      <c r="Y151" s="31"/>
      <c r="Z151" s="31"/>
      <c r="AA151" s="31"/>
      <c r="AB151" s="31"/>
      <c r="AC151" s="31"/>
      <c r="AD151" s="31"/>
      <c r="AE151" s="31"/>
      <c r="AT151" s="19" t="s">
        <v>149</v>
      </c>
      <c r="AU151" s="19" t="s">
        <v>82</v>
      </c>
    </row>
    <row r="152" spans="1:65" s="2" customFormat="1" ht="24.2" customHeight="1">
      <c r="A152" s="31"/>
      <c r="B152" s="136"/>
      <c r="C152" s="137">
        <v>16</v>
      </c>
      <c r="D152" s="137" t="s">
        <v>141</v>
      </c>
      <c r="E152" s="138" t="s">
        <v>576</v>
      </c>
      <c r="F152" s="139" t="s">
        <v>577</v>
      </c>
      <c r="G152" s="140" t="s">
        <v>578</v>
      </c>
      <c r="H152" s="141">
        <v>1</v>
      </c>
      <c r="I152" s="142"/>
      <c r="J152" s="142">
        <f>ROUND(I152*H152,2)</f>
        <v>0</v>
      </c>
      <c r="K152" s="139" t="s">
        <v>143</v>
      </c>
      <c r="L152" s="32"/>
      <c r="M152" s="143" t="s">
        <v>3</v>
      </c>
      <c r="N152" s="144" t="s">
        <v>43</v>
      </c>
      <c r="O152" s="145">
        <v>0</v>
      </c>
      <c r="P152" s="145">
        <f>O152*H152</f>
        <v>0</v>
      </c>
      <c r="Q152" s="145">
        <v>0</v>
      </c>
      <c r="R152" s="145">
        <f>Q152*H152</f>
        <v>0</v>
      </c>
      <c r="S152" s="145">
        <v>0</v>
      </c>
      <c r="T152" s="146">
        <f>S152*H152</f>
        <v>0</v>
      </c>
      <c r="U152" s="31"/>
      <c r="V152" s="31"/>
      <c r="W152" s="31"/>
      <c r="X152" s="31"/>
      <c r="Y152" s="31"/>
      <c r="Z152" s="31"/>
      <c r="AA152" s="31"/>
      <c r="AB152" s="31"/>
      <c r="AC152" s="31"/>
      <c r="AD152" s="31"/>
      <c r="AE152" s="31"/>
      <c r="AR152" s="147" t="s">
        <v>144</v>
      </c>
      <c r="AT152" s="147" t="s">
        <v>141</v>
      </c>
      <c r="AU152" s="147" t="s">
        <v>82</v>
      </c>
      <c r="AY152" s="19" t="s">
        <v>138</v>
      </c>
      <c r="BE152" s="148">
        <f>IF(N152="základní",J152,0)</f>
        <v>0</v>
      </c>
      <c r="BF152" s="148">
        <f>IF(N152="snížená",J152,0)</f>
        <v>0</v>
      </c>
      <c r="BG152" s="148">
        <f>IF(N152="zákl. přenesená",J152,0)</f>
        <v>0</v>
      </c>
      <c r="BH152" s="148">
        <f>IF(N152="sníž. přenesená",J152,0)</f>
        <v>0</v>
      </c>
      <c r="BI152" s="148">
        <f>IF(N152="nulová",J152,0)</f>
        <v>0</v>
      </c>
      <c r="BJ152" s="19" t="s">
        <v>80</v>
      </c>
      <c r="BK152" s="148">
        <f>ROUND(I152*H152,2)</f>
        <v>0</v>
      </c>
      <c r="BL152" s="19" t="s">
        <v>144</v>
      </c>
      <c r="BM152" s="147" t="s">
        <v>579</v>
      </c>
    </row>
    <row r="153" spans="1:65" s="12" customFormat="1" ht="22.9" customHeight="1">
      <c r="B153" s="124"/>
      <c r="D153" s="125" t="s">
        <v>71</v>
      </c>
      <c r="E153" s="134" t="s">
        <v>285</v>
      </c>
      <c r="F153" s="134" t="s">
        <v>286</v>
      </c>
      <c r="J153" s="135">
        <f>BK153</f>
        <v>0</v>
      </c>
      <c r="L153" s="124"/>
      <c r="M153" s="128"/>
      <c r="N153" s="129"/>
      <c r="O153" s="129"/>
      <c r="P153" s="130">
        <f>SUM(P154:P155)</f>
        <v>8.7102400000000006</v>
      </c>
      <c r="Q153" s="129"/>
      <c r="R153" s="130">
        <f>SUM(R154:R155)</f>
        <v>0</v>
      </c>
      <c r="S153" s="129"/>
      <c r="T153" s="131">
        <f>SUM(T154:T155)</f>
        <v>0</v>
      </c>
      <c r="AR153" s="125" t="s">
        <v>80</v>
      </c>
      <c r="AT153" s="132" t="s">
        <v>71</v>
      </c>
      <c r="AU153" s="132" t="s">
        <v>80</v>
      </c>
      <c r="AY153" s="125" t="s">
        <v>138</v>
      </c>
      <c r="BK153" s="133">
        <f>SUM(BK154:BK155)</f>
        <v>0</v>
      </c>
    </row>
    <row r="154" spans="1:65" s="2" customFormat="1" ht="49.15" customHeight="1">
      <c r="A154" s="31"/>
      <c r="B154" s="136"/>
      <c r="C154" s="137">
        <v>17</v>
      </c>
      <c r="D154" s="137" t="s">
        <v>141</v>
      </c>
      <c r="E154" s="138" t="s">
        <v>287</v>
      </c>
      <c r="F154" s="139" t="s">
        <v>288</v>
      </c>
      <c r="G154" s="140" t="s">
        <v>160</v>
      </c>
      <c r="H154" s="141">
        <v>2.1560000000000001</v>
      </c>
      <c r="I154" s="142"/>
      <c r="J154" s="142">
        <f>ROUND(I154*H154,2)</f>
        <v>0</v>
      </c>
      <c r="K154" s="139" t="s">
        <v>148</v>
      </c>
      <c r="L154" s="32"/>
      <c r="M154" s="143" t="s">
        <v>3</v>
      </c>
      <c r="N154" s="144" t="s">
        <v>43</v>
      </c>
      <c r="O154" s="145">
        <v>4.04</v>
      </c>
      <c r="P154" s="145">
        <f>O154*H154</f>
        <v>8.7102400000000006</v>
      </c>
      <c r="Q154" s="145">
        <v>0</v>
      </c>
      <c r="R154" s="145">
        <f>Q154*H154</f>
        <v>0</v>
      </c>
      <c r="S154" s="145">
        <v>0</v>
      </c>
      <c r="T154" s="146">
        <f>S154*H154</f>
        <v>0</v>
      </c>
      <c r="U154" s="31"/>
      <c r="V154" s="31"/>
      <c r="W154" s="31"/>
      <c r="X154" s="31"/>
      <c r="Y154" s="31"/>
      <c r="Z154" s="31"/>
      <c r="AA154" s="31"/>
      <c r="AB154" s="31"/>
      <c r="AC154" s="31"/>
      <c r="AD154" s="31"/>
      <c r="AE154" s="31"/>
      <c r="AR154" s="147" t="s">
        <v>144</v>
      </c>
      <c r="AT154" s="147" t="s">
        <v>141</v>
      </c>
      <c r="AU154" s="147" t="s">
        <v>82</v>
      </c>
      <c r="AY154" s="19" t="s">
        <v>138</v>
      </c>
      <c r="BE154" s="148">
        <f>IF(N154="základní",J154,0)</f>
        <v>0</v>
      </c>
      <c r="BF154" s="148">
        <f>IF(N154="snížená",J154,0)</f>
        <v>0</v>
      </c>
      <c r="BG154" s="148">
        <f>IF(N154="zákl. přenesená",J154,0)</f>
        <v>0</v>
      </c>
      <c r="BH154" s="148">
        <f>IF(N154="sníž. přenesená",J154,0)</f>
        <v>0</v>
      </c>
      <c r="BI154" s="148">
        <f>IF(N154="nulová",J154,0)</f>
        <v>0</v>
      </c>
      <c r="BJ154" s="19" t="s">
        <v>80</v>
      </c>
      <c r="BK154" s="148">
        <f>ROUND(I154*H154,2)</f>
        <v>0</v>
      </c>
      <c r="BL154" s="19" t="s">
        <v>144</v>
      </c>
      <c r="BM154" s="147" t="s">
        <v>580</v>
      </c>
    </row>
    <row r="155" spans="1:65" s="2" customFormat="1" ht="87.75">
      <c r="A155" s="31"/>
      <c r="B155" s="32"/>
      <c r="C155" s="31"/>
      <c r="D155" s="150" t="s">
        <v>149</v>
      </c>
      <c r="E155" s="31"/>
      <c r="F155" s="163" t="s">
        <v>290</v>
      </c>
      <c r="G155" s="31"/>
      <c r="H155" s="31"/>
      <c r="I155" s="31"/>
      <c r="J155" s="31"/>
      <c r="K155" s="31"/>
      <c r="L155" s="32"/>
      <c r="M155" s="164"/>
      <c r="N155" s="165"/>
      <c r="O155" s="52"/>
      <c r="P155" s="52"/>
      <c r="Q155" s="52"/>
      <c r="R155" s="52"/>
      <c r="S155" s="52"/>
      <c r="T155" s="53"/>
      <c r="U155" s="31"/>
      <c r="V155" s="31"/>
      <c r="W155" s="31"/>
      <c r="X155" s="31"/>
      <c r="Y155" s="31"/>
      <c r="Z155" s="31"/>
      <c r="AA155" s="31"/>
      <c r="AB155" s="31"/>
      <c r="AC155" s="31"/>
      <c r="AD155" s="31"/>
      <c r="AE155" s="31"/>
      <c r="AT155" s="19" t="s">
        <v>149</v>
      </c>
      <c r="AU155" s="19" t="s">
        <v>82</v>
      </c>
    </row>
    <row r="156" spans="1:65" s="12" customFormat="1" ht="25.9" customHeight="1">
      <c r="B156" s="124"/>
      <c r="D156" s="125" t="s">
        <v>71</v>
      </c>
      <c r="E156" s="126" t="s">
        <v>291</v>
      </c>
      <c r="F156" s="126" t="s">
        <v>292</v>
      </c>
      <c r="J156" s="127">
        <f>BK156</f>
        <v>0</v>
      </c>
      <c r="L156" s="124"/>
      <c r="M156" s="128"/>
      <c r="N156" s="129"/>
      <c r="O156" s="129"/>
      <c r="P156" s="130">
        <f>P157+P189+P222+P301</f>
        <v>106.38191900000001</v>
      </c>
      <c r="Q156" s="129"/>
      <c r="R156" s="130">
        <f>R157+R189+R222+R301</f>
        <v>0.17437039999999998</v>
      </c>
      <c r="S156" s="129"/>
      <c r="T156" s="131">
        <f>T157+T189+T222+T301</f>
        <v>0.31386999999999998</v>
      </c>
      <c r="AR156" s="125" t="s">
        <v>82</v>
      </c>
      <c r="AT156" s="132" t="s">
        <v>71</v>
      </c>
      <c r="AU156" s="132" t="s">
        <v>72</v>
      </c>
      <c r="AY156" s="125" t="s">
        <v>138</v>
      </c>
      <c r="BK156" s="133">
        <f>BK157+BK189+BK222+BK301</f>
        <v>0</v>
      </c>
    </row>
    <row r="157" spans="1:65" s="12" customFormat="1" ht="22.9" customHeight="1">
      <c r="B157" s="124"/>
      <c r="D157" s="125" t="s">
        <v>71</v>
      </c>
      <c r="E157" s="134" t="s">
        <v>581</v>
      </c>
      <c r="F157" s="134" t="s">
        <v>582</v>
      </c>
      <c r="J157" s="135">
        <f>BK157</f>
        <v>0</v>
      </c>
      <c r="L157" s="124"/>
      <c r="M157" s="128"/>
      <c r="N157" s="129"/>
      <c r="O157" s="129"/>
      <c r="P157" s="130">
        <f>SUM(P158:P188)</f>
        <v>18.452640000000002</v>
      </c>
      <c r="Q157" s="129"/>
      <c r="R157" s="130">
        <f>SUM(R158:R188)</f>
        <v>3.1287200000000001E-2</v>
      </c>
      <c r="S157" s="129"/>
      <c r="T157" s="131">
        <f>SUM(T158:T188)</f>
        <v>0</v>
      </c>
      <c r="AR157" s="125" t="s">
        <v>82</v>
      </c>
      <c r="AT157" s="132" t="s">
        <v>71</v>
      </c>
      <c r="AU157" s="132" t="s">
        <v>80</v>
      </c>
      <c r="AY157" s="125" t="s">
        <v>138</v>
      </c>
      <c r="BK157" s="133">
        <f>SUM(BK158:BK188)</f>
        <v>0</v>
      </c>
    </row>
    <row r="158" spans="1:65" s="2" customFormat="1" ht="14.45" customHeight="1">
      <c r="A158" s="31"/>
      <c r="B158" s="136"/>
      <c r="C158" s="137">
        <v>18</v>
      </c>
      <c r="D158" s="137" t="s">
        <v>141</v>
      </c>
      <c r="E158" s="138" t="s">
        <v>583</v>
      </c>
      <c r="F158" s="139" t="s">
        <v>1350</v>
      </c>
      <c r="G158" s="140" t="s">
        <v>187</v>
      </c>
      <c r="H158" s="141">
        <f>H161</f>
        <v>4</v>
      </c>
      <c r="I158" s="142"/>
      <c r="J158" s="142">
        <f>ROUND(I158*H158,2)</f>
        <v>0</v>
      </c>
      <c r="K158" s="139" t="s">
        <v>148</v>
      </c>
      <c r="L158" s="32"/>
      <c r="M158" s="143" t="s">
        <v>3</v>
      </c>
      <c r="N158" s="144" t="s">
        <v>43</v>
      </c>
      <c r="O158" s="145">
        <v>0.36299999999999999</v>
      </c>
      <c r="P158" s="145">
        <f>O158*H158</f>
        <v>1.452</v>
      </c>
      <c r="Q158" s="145">
        <v>1.42E-3</v>
      </c>
      <c r="R158" s="145">
        <f>Q158*H158</f>
        <v>5.6800000000000002E-3</v>
      </c>
      <c r="S158" s="145">
        <v>0</v>
      </c>
      <c r="T158" s="146">
        <f>S158*H158</f>
        <v>0</v>
      </c>
      <c r="U158" s="31"/>
      <c r="V158" s="31"/>
      <c r="W158" s="31"/>
      <c r="X158" s="31"/>
      <c r="Y158" s="31"/>
      <c r="Z158" s="31"/>
      <c r="AA158" s="31"/>
      <c r="AB158" s="31"/>
      <c r="AC158" s="31"/>
      <c r="AD158" s="31"/>
      <c r="AE158" s="31"/>
      <c r="AR158" s="147" t="s">
        <v>200</v>
      </c>
      <c r="AT158" s="147" t="s">
        <v>141</v>
      </c>
      <c r="AU158" s="147" t="s">
        <v>82</v>
      </c>
      <c r="AY158" s="19" t="s">
        <v>138</v>
      </c>
      <c r="BE158" s="148">
        <f>IF(N158="základní",J158,0)</f>
        <v>0</v>
      </c>
      <c r="BF158" s="148">
        <f>IF(N158="snížená",J158,0)</f>
        <v>0</v>
      </c>
      <c r="BG158" s="148">
        <f>IF(N158="zákl. přenesená",J158,0)</f>
        <v>0</v>
      </c>
      <c r="BH158" s="148">
        <f>IF(N158="sníž. přenesená",J158,0)</f>
        <v>0</v>
      </c>
      <c r="BI158" s="148">
        <f>IF(N158="nulová",J158,0)</f>
        <v>0</v>
      </c>
      <c r="BJ158" s="19" t="s">
        <v>80</v>
      </c>
      <c r="BK158" s="148">
        <f>ROUND(I158*H158,2)</f>
        <v>0</v>
      </c>
      <c r="BL158" s="19" t="s">
        <v>200</v>
      </c>
      <c r="BM158" s="147" t="s">
        <v>584</v>
      </c>
    </row>
    <row r="159" spans="1:65" s="2" customFormat="1" ht="39">
      <c r="A159" s="31"/>
      <c r="B159" s="32"/>
      <c r="C159" s="31"/>
      <c r="D159" s="150" t="s">
        <v>149</v>
      </c>
      <c r="E159" s="31"/>
      <c r="F159" s="163" t="s">
        <v>585</v>
      </c>
      <c r="G159" s="31"/>
      <c r="H159" s="31"/>
      <c r="I159" s="31"/>
      <c r="J159" s="31"/>
      <c r="K159" s="31"/>
      <c r="L159" s="32"/>
      <c r="M159" s="164"/>
      <c r="N159" s="165"/>
      <c r="O159" s="52"/>
      <c r="P159" s="52"/>
      <c r="Q159" s="52"/>
      <c r="R159" s="52"/>
      <c r="S159" s="52"/>
      <c r="T159" s="53"/>
      <c r="U159" s="31"/>
      <c r="V159" s="31"/>
      <c r="W159" s="31"/>
      <c r="X159" s="31"/>
      <c r="Y159" s="31"/>
      <c r="Z159" s="31"/>
      <c r="AA159" s="31"/>
      <c r="AB159" s="31"/>
      <c r="AC159" s="31"/>
      <c r="AD159" s="31"/>
      <c r="AE159" s="31"/>
      <c r="AT159" s="19" t="s">
        <v>149</v>
      </c>
      <c r="AU159" s="19" t="s">
        <v>82</v>
      </c>
    </row>
    <row r="160" spans="1:65" s="13" customFormat="1">
      <c r="B160" s="149"/>
      <c r="D160" s="150" t="s">
        <v>145</v>
      </c>
      <c r="E160" s="151" t="s">
        <v>3</v>
      </c>
      <c r="F160" s="152" t="s">
        <v>1351</v>
      </c>
      <c r="H160" s="151" t="s">
        <v>3</v>
      </c>
      <c r="L160" s="149"/>
      <c r="M160" s="153"/>
      <c r="N160" s="154"/>
      <c r="O160" s="154"/>
      <c r="P160" s="154"/>
      <c r="Q160" s="154"/>
      <c r="R160" s="154"/>
      <c r="S160" s="154"/>
      <c r="T160" s="155"/>
      <c r="AT160" s="151" t="s">
        <v>145</v>
      </c>
      <c r="AU160" s="151" t="s">
        <v>82</v>
      </c>
      <c r="AV160" s="13" t="s">
        <v>80</v>
      </c>
      <c r="AW160" s="13" t="s">
        <v>34</v>
      </c>
      <c r="AX160" s="13" t="s">
        <v>72</v>
      </c>
      <c r="AY160" s="151" t="s">
        <v>138</v>
      </c>
    </row>
    <row r="161" spans="1:65" s="14" customFormat="1">
      <c r="B161" s="156"/>
      <c r="D161" s="150" t="s">
        <v>145</v>
      </c>
      <c r="E161" s="157" t="s">
        <v>3</v>
      </c>
      <c r="F161" s="158" t="s">
        <v>1352</v>
      </c>
      <c r="H161" s="159">
        <v>4</v>
      </c>
      <c r="L161" s="156"/>
      <c r="M161" s="160"/>
      <c r="N161" s="161"/>
      <c r="O161" s="161"/>
      <c r="P161" s="161"/>
      <c r="Q161" s="161"/>
      <c r="R161" s="161"/>
      <c r="S161" s="161"/>
      <c r="T161" s="162"/>
      <c r="AT161" s="157" t="s">
        <v>145</v>
      </c>
      <c r="AU161" s="157" t="s">
        <v>82</v>
      </c>
      <c r="AV161" s="14" t="s">
        <v>82</v>
      </c>
      <c r="AW161" s="14" t="s">
        <v>34</v>
      </c>
      <c r="AX161" s="14" t="s">
        <v>80</v>
      </c>
      <c r="AY161" s="157" t="s">
        <v>138</v>
      </c>
    </row>
    <row r="162" spans="1:65" s="2" customFormat="1" ht="14.45" customHeight="1">
      <c r="A162" s="31"/>
      <c r="B162" s="136"/>
      <c r="C162" s="137">
        <v>19</v>
      </c>
      <c r="D162" s="137" t="s">
        <v>141</v>
      </c>
      <c r="E162" s="138" t="s">
        <v>586</v>
      </c>
      <c r="F162" s="139" t="s">
        <v>587</v>
      </c>
      <c r="G162" s="140" t="s">
        <v>187</v>
      </c>
      <c r="H162" s="141">
        <f>H165</f>
        <v>11.639999999999999</v>
      </c>
      <c r="I162" s="142"/>
      <c r="J162" s="142">
        <f>ROUND(I162*H162,2)</f>
        <v>0</v>
      </c>
      <c r="K162" s="139" t="s">
        <v>148</v>
      </c>
      <c r="L162" s="32"/>
      <c r="M162" s="143" t="s">
        <v>3</v>
      </c>
      <c r="N162" s="144" t="s">
        <v>43</v>
      </c>
      <c r="O162" s="145">
        <v>0.72799999999999998</v>
      </c>
      <c r="P162" s="145">
        <f>O162*H162</f>
        <v>8.4739199999999997</v>
      </c>
      <c r="Q162" s="145">
        <v>4.8000000000000001E-4</v>
      </c>
      <c r="R162" s="145">
        <f>Q162*H162</f>
        <v>5.5871999999999996E-3</v>
      </c>
      <c r="S162" s="145">
        <v>0</v>
      </c>
      <c r="T162" s="146">
        <f>S162*H162</f>
        <v>0</v>
      </c>
      <c r="U162" s="31"/>
      <c r="V162" s="31"/>
      <c r="W162" s="31"/>
      <c r="X162" s="31"/>
      <c r="Y162" s="31"/>
      <c r="Z162" s="31"/>
      <c r="AA162" s="31"/>
      <c r="AB162" s="31"/>
      <c r="AC162" s="31"/>
      <c r="AD162" s="31"/>
      <c r="AE162" s="31"/>
      <c r="AR162" s="147" t="s">
        <v>200</v>
      </c>
      <c r="AT162" s="147" t="s">
        <v>141</v>
      </c>
      <c r="AU162" s="147" t="s">
        <v>82</v>
      </c>
      <c r="AY162" s="19" t="s">
        <v>138</v>
      </c>
      <c r="BE162" s="148">
        <f>IF(N162="základní",J162,0)</f>
        <v>0</v>
      </c>
      <c r="BF162" s="148">
        <f>IF(N162="snížená",J162,0)</f>
        <v>0</v>
      </c>
      <c r="BG162" s="148">
        <f>IF(N162="zákl. přenesená",J162,0)</f>
        <v>0</v>
      </c>
      <c r="BH162" s="148">
        <f>IF(N162="sníž. přenesená",J162,0)</f>
        <v>0</v>
      </c>
      <c r="BI162" s="148">
        <f>IF(N162="nulová",J162,0)</f>
        <v>0</v>
      </c>
      <c r="BJ162" s="19" t="s">
        <v>80</v>
      </c>
      <c r="BK162" s="148">
        <f>ROUND(I162*H162,2)</f>
        <v>0</v>
      </c>
      <c r="BL162" s="19" t="s">
        <v>200</v>
      </c>
      <c r="BM162" s="147" t="s">
        <v>588</v>
      </c>
    </row>
    <row r="163" spans="1:65" s="2" customFormat="1" ht="68.25">
      <c r="A163" s="31"/>
      <c r="B163" s="32"/>
      <c r="C163" s="31"/>
      <c r="D163" s="150" t="s">
        <v>149</v>
      </c>
      <c r="E163" s="31"/>
      <c r="F163" s="163" t="s">
        <v>589</v>
      </c>
      <c r="G163" s="31"/>
      <c r="H163" s="31"/>
      <c r="I163" s="31"/>
      <c r="J163" s="31"/>
      <c r="K163" s="31"/>
      <c r="L163" s="32"/>
      <c r="M163" s="164"/>
      <c r="N163" s="165"/>
      <c r="O163" s="52"/>
      <c r="P163" s="52"/>
      <c r="Q163" s="52"/>
      <c r="R163" s="52"/>
      <c r="S163" s="52"/>
      <c r="T163" s="53"/>
      <c r="U163" s="31"/>
      <c r="V163" s="31"/>
      <c r="W163" s="31"/>
      <c r="X163" s="31"/>
      <c r="Y163" s="31"/>
      <c r="Z163" s="31"/>
      <c r="AA163" s="31"/>
      <c r="AB163" s="31"/>
      <c r="AC163" s="31"/>
      <c r="AD163" s="31"/>
      <c r="AE163" s="31"/>
      <c r="AT163" s="19" t="s">
        <v>149</v>
      </c>
      <c r="AU163" s="19" t="s">
        <v>82</v>
      </c>
    </row>
    <row r="164" spans="1:65" s="13" customFormat="1">
      <c r="B164" s="149"/>
      <c r="D164" s="150" t="s">
        <v>145</v>
      </c>
      <c r="E164" s="151" t="s">
        <v>3</v>
      </c>
      <c r="F164" s="152" t="s">
        <v>1291</v>
      </c>
      <c r="H164" s="151" t="s">
        <v>3</v>
      </c>
      <c r="L164" s="149"/>
      <c r="M164" s="153"/>
      <c r="N164" s="154"/>
      <c r="O164" s="154"/>
      <c r="P164" s="154"/>
      <c r="Q164" s="154"/>
      <c r="R164" s="154"/>
      <c r="S164" s="154"/>
      <c r="T164" s="155"/>
      <c r="AT164" s="151" t="s">
        <v>145</v>
      </c>
      <c r="AU164" s="151" t="s">
        <v>82</v>
      </c>
      <c r="AV164" s="13" t="s">
        <v>80</v>
      </c>
      <c r="AW164" s="13" t="s">
        <v>34</v>
      </c>
      <c r="AX164" s="13" t="s">
        <v>72</v>
      </c>
      <c r="AY164" s="151" t="s">
        <v>138</v>
      </c>
    </row>
    <row r="165" spans="1:65" s="14" customFormat="1">
      <c r="B165" s="156"/>
      <c r="D165" s="150" t="s">
        <v>145</v>
      </c>
      <c r="E165" s="157" t="s">
        <v>3</v>
      </c>
      <c r="F165" s="158" t="s">
        <v>198</v>
      </c>
      <c r="H165" s="159">
        <f>H134</f>
        <v>11.639999999999999</v>
      </c>
      <c r="L165" s="156"/>
      <c r="M165" s="160"/>
      <c r="N165" s="161"/>
      <c r="O165" s="161"/>
      <c r="P165" s="161"/>
      <c r="Q165" s="161"/>
      <c r="R165" s="161"/>
      <c r="S165" s="161"/>
      <c r="T165" s="162"/>
      <c r="AT165" s="157" t="s">
        <v>145</v>
      </c>
      <c r="AU165" s="157" t="s">
        <v>82</v>
      </c>
      <c r="AV165" s="14" t="s">
        <v>82</v>
      </c>
      <c r="AW165" s="14" t="s">
        <v>34</v>
      </c>
      <c r="AX165" s="14" t="s">
        <v>80</v>
      </c>
      <c r="AY165" s="157" t="s">
        <v>138</v>
      </c>
    </row>
    <row r="166" spans="1:65" s="2" customFormat="1" ht="14.45" customHeight="1">
      <c r="A166" s="31"/>
      <c r="B166" s="136"/>
      <c r="C166" s="137">
        <v>20</v>
      </c>
      <c r="D166" s="137" t="s">
        <v>141</v>
      </c>
      <c r="E166" s="138" t="s">
        <v>590</v>
      </c>
      <c r="F166" s="139" t="s">
        <v>591</v>
      </c>
      <c r="G166" s="140" t="s">
        <v>187</v>
      </c>
      <c r="H166" s="141">
        <f>H169</f>
        <v>3</v>
      </c>
      <c r="I166" s="142"/>
      <c r="J166" s="142">
        <f>ROUND(I166*H166,2)</f>
        <v>0</v>
      </c>
      <c r="K166" s="139" t="s">
        <v>148</v>
      </c>
      <c r="L166" s="32"/>
      <c r="M166" s="143" t="s">
        <v>3</v>
      </c>
      <c r="N166" s="144" t="s">
        <v>43</v>
      </c>
      <c r="O166" s="145">
        <v>0.83199999999999996</v>
      </c>
      <c r="P166" s="145">
        <f>O166*H166</f>
        <v>2.496</v>
      </c>
      <c r="Q166" s="145">
        <v>2.2399999999999998E-3</v>
      </c>
      <c r="R166" s="145">
        <f>Q166*H166</f>
        <v>6.7199999999999994E-3</v>
      </c>
      <c r="S166" s="145">
        <v>0</v>
      </c>
      <c r="T166" s="146">
        <f>S166*H166</f>
        <v>0</v>
      </c>
      <c r="U166" s="31"/>
      <c r="V166" s="31"/>
      <c r="W166" s="31"/>
      <c r="X166" s="31"/>
      <c r="Y166" s="31"/>
      <c r="Z166" s="31"/>
      <c r="AA166" s="31"/>
      <c r="AB166" s="31"/>
      <c r="AC166" s="31"/>
      <c r="AD166" s="31"/>
      <c r="AE166" s="31"/>
      <c r="AR166" s="147" t="s">
        <v>200</v>
      </c>
      <c r="AT166" s="147" t="s">
        <v>141</v>
      </c>
      <c r="AU166" s="147" t="s">
        <v>82</v>
      </c>
      <c r="AY166" s="19" t="s">
        <v>138</v>
      </c>
      <c r="BE166" s="148">
        <f>IF(N166="základní",J166,0)</f>
        <v>0</v>
      </c>
      <c r="BF166" s="148">
        <f>IF(N166="snížená",J166,0)</f>
        <v>0</v>
      </c>
      <c r="BG166" s="148">
        <f>IF(N166="zákl. přenesená",J166,0)</f>
        <v>0</v>
      </c>
      <c r="BH166" s="148">
        <f>IF(N166="sníž. přenesená",J166,0)</f>
        <v>0</v>
      </c>
      <c r="BI166" s="148">
        <f>IF(N166="nulová",J166,0)</f>
        <v>0</v>
      </c>
      <c r="BJ166" s="19" t="s">
        <v>80</v>
      </c>
      <c r="BK166" s="148">
        <f>ROUND(I166*H166,2)</f>
        <v>0</v>
      </c>
      <c r="BL166" s="19" t="s">
        <v>200</v>
      </c>
      <c r="BM166" s="147" t="s">
        <v>592</v>
      </c>
    </row>
    <row r="167" spans="1:65" s="2" customFormat="1" ht="68.25">
      <c r="A167" s="31"/>
      <c r="B167" s="32"/>
      <c r="C167" s="31"/>
      <c r="D167" s="150" t="s">
        <v>149</v>
      </c>
      <c r="E167" s="31"/>
      <c r="F167" s="163" t="s">
        <v>589</v>
      </c>
      <c r="G167" s="31"/>
      <c r="H167" s="31"/>
      <c r="I167" s="31"/>
      <c r="J167" s="31"/>
      <c r="K167" s="31"/>
      <c r="L167" s="32"/>
      <c r="M167" s="164"/>
      <c r="N167" s="165"/>
      <c r="O167" s="52"/>
      <c r="P167" s="52"/>
      <c r="Q167" s="52"/>
      <c r="R167" s="52"/>
      <c r="S167" s="52"/>
      <c r="T167" s="53"/>
      <c r="U167" s="31"/>
      <c r="V167" s="31"/>
      <c r="W167" s="31"/>
      <c r="X167" s="31"/>
      <c r="Y167" s="31"/>
      <c r="Z167" s="31"/>
      <c r="AA167" s="31"/>
      <c r="AB167" s="31"/>
      <c r="AC167" s="31"/>
      <c r="AD167" s="31"/>
      <c r="AE167" s="31"/>
      <c r="AT167" s="19" t="s">
        <v>149</v>
      </c>
      <c r="AU167" s="19" t="s">
        <v>82</v>
      </c>
    </row>
    <row r="168" spans="1:65" s="13" customFormat="1">
      <c r="B168" s="149"/>
      <c r="D168" s="150" t="s">
        <v>145</v>
      </c>
      <c r="E168" s="151" t="s">
        <v>3</v>
      </c>
      <c r="F168" s="152" t="s">
        <v>570</v>
      </c>
      <c r="H168" s="151" t="s">
        <v>3</v>
      </c>
      <c r="L168" s="149"/>
      <c r="M168" s="153"/>
      <c r="N168" s="154"/>
      <c r="O168" s="154"/>
      <c r="P168" s="154"/>
      <c r="Q168" s="154"/>
      <c r="R168" s="154"/>
      <c r="S168" s="154"/>
      <c r="T168" s="155"/>
      <c r="AT168" s="151" t="s">
        <v>145</v>
      </c>
      <c r="AU168" s="151" t="s">
        <v>82</v>
      </c>
      <c r="AV168" s="13" t="s">
        <v>80</v>
      </c>
      <c r="AW168" s="13" t="s">
        <v>34</v>
      </c>
      <c r="AX168" s="13" t="s">
        <v>72</v>
      </c>
      <c r="AY168" s="151" t="s">
        <v>138</v>
      </c>
    </row>
    <row r="169" spans="1:65" s="14" customFormat="1">
      <c r="B169" s="156"/>
      <c r="D169" s="150" t="s">
        <v>145</v>
      </c>
      <c r="E169" s="157" t="s">
        <v>3</v>
      </c>
      <c r="F169" s="158" t="s">
        <v>1353</v>
      </c>
      <c r="H169" s="159">
        <f>0.5*4+1</f>
        <v>3</v>
      </c>
      <c r="L169" s="156"/>
      <c r="M169" s="160"/>
      <c r="N169" s="161"/>
      <c r="O169" s="161"/>
      <c r="P169" s="161"/>
      <c r="Q169" s="161"/>
      <c r="R169" s="161"/>
      <c r="S169" s="161"/>
      <c r="T169" s="162"/>
      <c r="AT169" s="157" t="s">
        <v>145</v>
      </c>
      <c r="AU169" s="157" t="s">
        <v>82</v>
      </c>
      <c r="AV169" s="14" t="s">
        <v>82</v>
      </c>
      <c r="AW169" s="14" t="s">
        <v>34</v>
      </c>
      <c r="AX169" s="14" t="s">
        <v>80</v>
      </c>
      <c r="AY169" s="157" t="s">
        <v>138</v>
      </c>
    </row>
    <row r="170" spans="1:65" s="2" customFormat="1" ht="14.45" customHeight="1">
      <c r="A170" s="31"/>
      <c r="B170" s="136"/>
      <c r="C170" s="137">
        <v>21</v>
      </c>
      <c r="D170" s="137" t="s">
        <v>141</v>
      </c>
      <c r="E170" s="138" t="s">
        <v>593</v>
      </c>
      <c r="F170" s="139" t="s">
        <v>594</v>
      </c>
      <c r="G170" s="140" t="s">
        <v>187</v>
      </c>
      <c r="H170" s="141">
        <f>H173</f>
        <v>7</v>
      </c>
      <c r="I170" s="142"/>
      <c r="J170" s="142">
        <f>ROUND(I170*H170,2)</f>
        <v>0</v>
      </c>
      <c r="K170" s="139" t="s">
        <v>148</v>
      </c>
      <c r="L170" s="32"/>
      <c r="M170" s="143" t="s">
        <v>3</v>
      </c>
      <c r="N170" s="144" t="s">
        <v>43</v>
      </c>
      <c r="O170" s="145">
        <v>0.314</v>
      </c>
      <c r="P170" s="145">
        <f>O170*H170</f>
        <v>2.198</v>
      </c>
      <c r="Q170" s="145">
        <v>1.9E-3</v>
      </c>
      <c r="R170" s="145">
        <f>Q170*H170</f>
        <v>1.3299999999999999E-2</v>
      </c>
      <c r="S170" s="145">
        <v>0</v>
      </c>
      <c r="T170" s="146">
        <f>S170*H170</f>
        <v>0</v>
      </c>
      <c r="U170" s="31"/>
      <c r="V170" s="31"/>
      <c r="W170" s="31"/>
      <c r="X170" s="31"/>
      <c r="Y170" s="31"/>
      <c r="Z170" s="31"/>
      <c r="AA170" s="31"/>
      <c r="AB170" s="31"/>
      <c r="AC170" s="31"/>
      <c r="AD170" s="31"/>
      <c r="AE170" s="31"/>
      <c r="AR170" s="147" t="s">
        <v>200</v>
      </c>
      <c r="AT170" s="147" t="s">
        <v>141</v>
      </c>
      <c r="AU170" s="147" t="s">
        <v>82</v>
      </c>
      <c r="AY170" s="19" t="s">
        <v>138</v>
      </c>
      <c r="BE170" s="148">
        <f>IF(N170="základní",J170,0)</f>
        <v>0</v>
      </c>
      <c r="BF170" s="148">
        <f>IF(N170="snížená",J170,0)</f>
        <v>0</v>
      </c>
      <c r="BG170" s="148">
        <f>IF(N170="zákl. přenesená",J170,0)</f>
        <v>0</v>
      </c>
      <c r="BH170" s="148">
        <f>IF(N170="sníž. přenesená",J170,0)</f>
        <v>0</v>
      </c>
      <c r="BI170" s="148">
        <f>IF(N170="nulová",J170,0)</f>
        <v>0</v>
      </c>
      <c r="BJ170" s="19" t="s">
        <v>80</v>
      </c>
      <c r="BK170" s="148">
        <f>ROUND(I170*H170,2)</f>
        <v>0</v>
      </c>
      <c r="BL170" s="19" t="s">
        <v>200</v>
      </c>
      <c r="BM170" s="147" t="s">
        <v>595</v>
      </c>
    </row>
    <row r="171" spans="1:65" s="2" customFormat="1" ht="68.25">
      <c r="A171" s="31"/>
      <c r="B171" s="32"/>
      <c r="C171" s="31"/>
      <c r="D171" s="150" t="s">
        <v>149</v>
      </c>
      <c r="E171" s="31"/>
      <c r="F171" s="163" t="s">
        <v>589</v>
      </c>
      <c r="G171" s="31"/>
      <c r="H171" s="31"/>
      <c r="I171" s="31"/>
      <c r="J171" s="31"/>
      <c r="K171" s="31"/>
      <c r="L171" s="32"/>
      <c r="M171" s="164"/>
      <c r="N171" s="165"/>
      <c r="O171" s="52"/>
      <c r="P171" s="52"/>
      <c r="Q171" s="52"/>
      <c r="R171" s="52"/>
      <c r="S171" s="52"/>
      <c r="T171" s="53"/>
      <c r="U171" s="31"/>
      <c r="V171" s="31"/>
      <c r="W171" s="31"/>
      <c r="X171" s="31"/>
      <c r="Y171" s="31"/>
      <c r="Z171" s="31"/>
      <c r="AA171" s="31"/>
      <c r="AB171" s="31"/>
      <c r="AC171" s="31"/>
      <c r="AD171" s="31"/>
      <c r="AE171" s="31"/>
      <c r="AT171" s="19" t="s">
        <v>149</v>
      </c>
      <c r="AU171" s="19" t="s">
        <v>82</v>
      </c>
    </row>
    <row r="172" spans="1:65" s="13" customFormat="1">
      <c r="B172" s="149"/>
      <c r="D172" s="150" t="s">
        <v>145</v>
      </c>
      <c r="E172" s="151" t="s">
        <v>3</v>
      </c>
      <c r="F172" s="152" t="s">
        <v>570</v>
      </c>
      <c r="H172" s="151" t="s">
        <v>3</v>
      </c>
      <c r="L172" s="149"/>
      <c r="M172" s="153"/>
      <c r="N172" s="154"/>
      <c r="O172" s="154"/>
      <c r="P172" s="154"/>
      <c r="Q172" s="154"/>
      <c r="R172" s="154"/>
      <c r="S172" s="154"/>
      <c r="T172" s="155"/>
      <c r="AT172" s="151" t="s">
        <v>145</v>
      </c>
      <c r="AU172" s="151" t="s">
        <v>82</v>
      </c>
      <c r="AV172" s="13" t="s">
        <v>80</v>
      </c>
      <c r="AW172" s="13" t="s">
        <v>34</v>
      </c>
      <c r="AX172" s="13" t="s">
        <v>72</v>
      </c>
      <c r="AY172" s="151" t="s">
        <v>138</v>
      </c>
    </row>
    <row r="173" spans="1:65" s="14" customFormat="1">
      <c r="B173" s="156"/>
      <c r="D173" s="150" t="s">
        <v>145</v>
      </c>
      <c r="E173" s="157" t="s">
        <v>3</v>
      </c>
      <c r="F173" s="158" t="s">
        <v>1354</v>
      </c>
      <c r="H173" s="159">
        <v>7</v>
      </c>
      <c r="L173" s="156"/>
      <c r="M173" s="160"/>
      <c r="N173" s="161"/>
      <c r="O173" s="161"/>
      <c r="P173" s="161"/>
      <c r="Q173" s="161"/>
      <c r="R173" s="161"/>
      <c r="S173" s="161"/>
      <c r="T173" s="162"/>
      <c r="AT173" s="157" t="s">
        <v>145</v>
      </c>
      <c r="AU173" s="157" t="s">
        <v>82</v>
      </c>
      <c r="AV173" s="14" t="s">
        <v>82</v>
      </c>
      <c r="AW173" s="14" t="s">
        <v>34</v>
      </c>
      <c r="AX173" s="14" t="s">
        <v>80</v>
      </c>
      <c r="AY173" s="157" t="s">
        <v>138</v>
      </c>
    </row>
    <row r="174" spans="1:65" s="2" customFormat="1" ht="24.2" customHeight="1">
      <c r="A174" s="31"/>
      <c r="B174" s="136"/>
      <c r="C174" s="137">
        <v>22</v>
      </c>
      <c r="D174" s="137" t="s">
        <v>141</v>
      </c>
      <c r="E174" s="138" t="s">
        <v>596</v>
      </c>
      <c r="F174" s="139" t="s">
        <v>597</v>
      </c>
      <c r="G174" s="140" t="s">
        <v>147</v>
      </c>
      <c r="H174" s="141">
        <f>H177</f>
        <v>9</v>
      </c>
      <c r="I174" s="142"/>
      <c r="J174" s="142">
        <f>ROUND(I174*H174,2)</f>
        <v>0</v>
      </c>
      <c r="K174" s="139" t="s">
        <v>148</v>
      </c>
      <c r="L174" s="32"/>
      <c r="M174" s="143" t="s">
        <v>3</v>
      </c>
      <c r="N174" s="144" t="s">
        <v>43</v>
      </c>
      <c r="O174" s="145">
        <v>0.17399999999999999</v>
      </c>
      <c r="P174" s="145">
        <f>O174*H174</f>
        <v>1.5659999999999998</v>
      </c>
      <c r="Q174" s="145">
        <v>0</v>
      </c>
      <c r="R174" s="145">
        <f>Q174*H174</f>
        <v>0</v>
      </c>
      <c r="S174" s="145">
        <v>0</v>
      </c>
      <c r="T174" s="146">
        <f>S174*H174</f>
        <v>0</v>
      </c>
      <c r="U174" s="31"/>
      <c r="V174" s="31"/>
      <c r="W174" s="31"/>
      <c r="X174" s="31"/>
      <c r="Y174" s="31"/>
      <c r="Z174" s="31"/>
      <c r="AA174" s="31"/>
      <c r="AB174" s="31"/>
      <c r="AC174" s="31"/>
      <c r="AD174" s="31"/>
      <c r="AE174" s="31"/>
      <c r="AR174" s="147" t="s">
        <v>200</v>
      </c>
      <c r="AT174" s="147" t="s">
        <v>141</v>
      </c>
      <c r="AU174" s="147" t="s">
        <v>82</v>
      </c>
      <c r="AY174" s="19" t="s">
        <v>138</v>
      </c>
      <c r="BE174" s="148">
        <f>IF(N174="základní",J174,0)</f>
        <v>0</v>
      </c>
      <c r="BF174" s="148">
        <f>IF(N174="snížená",J174,0)</f>
        <v>0</v>
      </c>
      <c r="BG174" s="148">
        <f>IF(N174="zákl. přenesená",J174,0)</f>
        <v>0</v>
      </c>
      <c r="BH174" s="148">
        <f>IF(N174="sníž. přenesená",J174,0)</f>
        <v>0</v>
      </c>
      <c r="BI174" s="148">
        <f>IF(N174="nulová",J174,0)</f>
        <v>0</v>
      </c>
      <c r="BJ174" s="19" t="s">
        <v>80</v>
      </c>
      <c r="BK174" s="148">
        <f>ROUND(I174*H174,2)</f>
        <v>0</v>
      </c>
      <c r="BL174" s="19" t="s">
        <v>200</v>
      </c>
      <c r="BM174" s="147" t="s">
        <v>598</v>
      </c>
    </row>
    <row r="175" spans="1:65" s="2" customFormat="1" ht="58.5">
      <c r="A175" s="31"/>
      <c r="B175" s="32"/>
      <c r="C175" s="31"/>
      <c r="D175" s="150" t="s">
        <v>149</v>
      </c>
      <c r="E175" s="31"/>
      <c r="F175" s="163" t="s">
        <v>599</v>
      </c>
      <c r="G175" s="31"/>
      <c r="H175" s="31"/>
      <c r="I175" s="31"/>
      <c r="J175" s="31"/>
      <c r="K175" s="31"/>
      <c r="L175" s="32"/>
      <c r="M175" s="164"/>
      <c r="N175" s="165"/>
      <c r="O175" s="52"/>
      <c r="P175" s="52"/>
      <c r="Q175" s="52"/>
      <c r="R175" s="52"/>
      <c r="S175" s="52"/>
      <c r="T175" s="53"/>
      <c r="U175" s="31"/>
      <c r="V175" s="31"/>
      <c r="W175" s="31"/>
      <c r="X175" s="31"/>
      <c r="Y175" s="31"/>
      <c r="Z175" s="31"/>
      <c r="AA175" s="31"/>
      <c r="AB175" s="31"/>
      <c r="AC175" s="31"/>
      <c r="AD175" s="31"/>
      <c r="AE175" s="31"/>
      <c r="AT175" s="19" t="s">
        <v>149</v>
      </c>
      <c r="AU175" s="19" t="s">
        <v>82</v>
      </c>
    </row>
    <row r="176" spans="1:65" s="13" customFormat="1">
      <c r="B176" s="149"/>
      <c r="D176" s="150" t="s">
        <v>145</v>
      </c>
      <c r="E176" s="151" t="s">
        <v>3</v>
      </c>
      <c r="F176" s="152" t="s">
        <v>570</v>
      </c>
      <c r="H176" s="151" t="s">
        <v>3</v>
      </c>
      <c r="L176" s="149"/>
      <c r="M176" s="153"/>
      <c r="N176" s="154"/>
      <c r="O176" s="154"/>
      <c r="P176" s="154"/>
      <c r="Q176" s="154"/>
      <c r="R176" s="154"/>
      <c r="S176" s="154"/>
      <c r="T176" s="155"/>
      <c r="AT176" s="151" t="s">
        <v>145</v>
      </c>
      <c r="AU176" s="151" t="s">
        <v>82</v>
      </c>
      <c r="AV176" s="13" t="s">
        <v>80</v>
      </c>
      <c r="AW176" s="13" t="s">
        <v>34</v>
      </c>
      <c r="AX176" s="13" t="s">
        <v>72</v>
      </c>
      <c r="AY176" s="151" t="s">
        <v>138</v>
      </c>
    </row>
    <row r="177" spans="1:65" s="14" customFormat="1">
      <c r="B177" s="156"/>
      <c r="D177" s="150" t="s">
        <v>145</v>
      </c>
      <c r="E177" s="157" t="s">
        <v>3</v>
      </c>
      <c r="F177" s="158" t="s">
        <v>1355</v>
      </c>
      <c r="H177" s="159">
        <v>9</v>
      </c>
      <c r="L177" s="156"/>
      <c r="M177" s="160"/>
      <c r="N177" s="161"/>
      <c r="O177" s="161"/>
      <c r="P177" s="161"/>
      <c r="Q177" s="161"/>
      <c r="R177" s="161"/>
      <c r="S177" s="161"/>
      <c r="T177" s="162"/>
      <c r="AT177" s="157" t="s">
        <v>145</v>
      </c>
      <c r="AU177" s="157" t="s">
        <v>82</v>
      </c>
      <c r="AV177" s="14" t="s">
        <v>82</v>
      </c>
      <c r="AW177" s="14" t="s">
        <v>34</v>
      </c>
      <c r="AX177" s="14" t="s">
        <v>80</v>
      </c>
      <c r="AY177" s="157" t="s">
        <v>138</v>
      </c>
    </row>
    <row r="178" spans="1:65" s="2" customFormat="1" ht="24.2" customHeight="1">
      <c r="A178" s="31"/>
      <c r="B178" s="136"/>
      <c r="C178" s="137">
        <v>23</v>
      </c>
      <c r="D178" s="137" t="s">
        <v>141</v>
      </c>
      <c r="E178" s="138" t="s">
        <v>600</v>
      </c>
      <c r="F178" s="139" t="s">
        <v>601</v>
      </c>
      <c r="G178" s="140" t="s">
        <v>147</v>
      </c>
      <c r="H178" s="141">
        <f>H181</f>
        <v>4</v>
      </c>
      <c r="I178" s="142"/>
      <c r="J178" s="142">
        <f>ROUND(I178*H178,2)</f>
        <v>0</v>
      </c>
      <c r="K178" s="139" t="s">
        <v>148</v>
      </c>
      <c r="L178" s="32"/>
      <c r="M178" s="143" t="s">
        <v>3</v>
      </c>
      <c r="N178" s="144" t="s">
        <v>43</v>
      </c>
      <c r="O178" s="145">
        <v>0.25900000000000001</v>
      </c>
      <c r="P178" s="145">
        <f>O178*H178</f>
        <v>1.036</v>
      </c>
      <c r="Q178" s="145">
        <v>0</v>
      </c>
      <c r="R178" s="145">
        <f>Q178*H178</f>
        <v>0</v>
      </c>
      <c r="S178" s="145">
        <v>0</v>
      </c>
      <c r="T178" s="146">
        <f>S178*H178</f>
        <v>0</v>
      </c>
      <c r="U178" s="31"/>
      <c r="V178" s="31"/>
      <c r="W178" s="31"/>
      <c r="X178" s="31"/>
      <c r="Y178" s="31"/>
      <c r="Z178" s="31"/>
      <c r="AA178" s="31"/>
      <c r="AB178" s="31"/>
      <c r="AC178" s="31"/>
      <c r="AD178" s="31"/>
      <c r="AE178" s="31"/>
      <c r="AR178" s="147" t="s">
        <v>200</v>
      </c>
      <c r="AT178" s="147" t="s">
        <v>141</v>
      </c>
      <c r="AU178" s="147" t="s">
        <v>82</v>
      </c>
      <c r="AY178" s="19" t="s">
        <v>138</v>
      </c>
      <c r="BE178" s="148">
        <f>IF(N178="základní",J178,0)</f>
        <v>0</v>
      </c>
      <c r="BF178" s="148">
        <f>IF(N178="snížená",J178,0)</f>
        <v>0</v>
      </c>
      <c r="BG178" s="148">
        <f>IF(N178="zákl. přenesená",J178,0)</f>
        <v>0</v>
      </c>
      <c r="BH178" s="148">
        <f>IF(N178="sníž. přenesená",J178,0)</f>
        <v>0</v>
      </c>
      <c r="BI178" s="148">
        <f>IF(N178="nulová",J178,0)</f>
        <v>0</v>
      </c>
      <c r="BJ178" s="19" t="s">
        <v>80</v>
      </c>
      <c r="BK178" s="148">
        <f>ROUND(I178*H178,2)</f>
        <v>0</v>
      </c>
      <c r="BL178" s="19" t="s">
        <v>200</v>
      </c>
      <c r="BM178" s="147" t="s">
        <v>602</v>
      </c>
    </row>
    <row r="179" spans="1:65" s="2" customFormat="1" ht="58.5">
      <c r="A179" s="31"/>
      <c r="B179" s="32"/>
      <c r="C179" s="31"/>
      <c r="D179" s="150" t="s">
        <v>149</v>
      </c>
      <c r="E179" s="31"/>
      <c r="F179" s="163" t="s">
        <v>599</v>
      </c>
      <c r="G179" s="31"/>
      <c r="H179" s="31"/>
      <c r="I179" s="31"/>
      <c r="J179" s="31"/>
      <c r="K179" s="31"/>
      <c r="L179" s="32"/>
      <c r="M179" s="164"/>
      <c r="N179" s="165"/>
      <c r="O179" s="52"/>
      <c r="P179" s="52"/>
      <c r="Q179" s="52"/>
      <c r="R179" s="52"/>
      <c r="S179" s="52"/>
      <c r="T179" s="53"/>
      <c r="U179" s="31"/>
      <c r="V179" s="31"/>
      <c r="W179" s="31"/>
      <c r="X179" s="31"/>
      <c r="Y179" s="31"/>
      <c r="Z179" s="31"/>
      <c r="AA179" s="31"/>
      <c r="AB179" s="31"/>
      <c r="AC179" s="31"/>
      <c r="AD179" s="31"/>
      <c r="AE179" s="31"/>
      <c r="AT179" s="19" t="s">
        <v>149</v>
      </c>
      <c r="AU179" s="19" t="s">
        <v>82</v>
      </c>
    </row>
    <row r="180" spans="1:65" s="13" customFormat="1">
      <c r="B180" s="149"/>
      <c r="D180" s="150" t="s">
        <v>145</v>
      </c>
      <c r="E180" s="151" t="s">
        <v>3</v>
      </c>
      <c r="F180" s="152" t="s">
        <v>570</v>
      </c>
      <c r="H180" s="151" t="s">
        <v>3</v>
      </c>
      <c r="L180" s="149"/>
      <c r="M180" s="153"/>
      <c r="N180" s="154"/>
      <c r="O180" s="154"/>
      <c r="P180" s="154"/>
      <c r="Q180" s="154"/>
      <c r="R180" s="154"/>
      <c r="S180" s="154"/>
      <c r="T180" s="155"/>
      <c r="AT180" s="151" t="s">
        <v>145</v>
      </c>
      <c r="AU180" s="151" t="s">
        <v>82</v>
      </c>
      <c r="AV180" s="13" t="s">
        <v>80</v>
      </c>
      <c r="AW180" s="13" t="s">
        <v>34</v>
      </c>
      <c r="AX180" s="13" t="s">
        <v>72</v>
      </c>
      <c r="AY180" s="151" t="s">
        <v>138</v>
      </c>
    </row>
    <row r="181" spans="1:65" s="14" customFormat="1">
      <c r="B181" s="156"/>
      <c r="D181" s="150" t="s">
        <v>145</v>
      </c>
      <c r="E181" s="157" t="s">
        <v>3</v>
      </c>
      <c r="F181" s="158" t="s">
        <v>1292</v>
      </c>
      <c r="H181" s="159">
        <v>4</v>
      </c>
      <c r="L181" s="156"/>
      <c r="M181" s="160"/>
      <c r="N181" s="161"/>
      <c r="O181" s="161"/>
      <c r="P181" s="161"/>
      <c r="Q181" s="161"/>
      <c r="R181" s="161"/>
      <c r="S181" s="161"/>
      <c r="T181" s="162"/>
      <c r="AT181" s="157" t="s">
        <v>145</v>
      </c>
      <c r="AU181" s="157" t="s">
        <v>82</v>
      </c>
      <c r="AV181" s="14" t="s">
        <v>82</v>
      </c>
      <c r="AW181" s="14" t="s">
        <v>34</v>
      </c>
      <c r="AX181" s="14" t="s">
        <v>80</v>
      </c>
      <c r="AY181" s="157" t="s">
        <v>138</v>
      </c>
    </row>
    <row r="182" spans="1:65" s="2" customFormat="1" ht="24.2" customHeight="1">
      <c r="A182" s="31"/>
      <c r="B182" s="136"/>
      <c r="C182" s="137">
        <v>24</v>
      </c>
      <c r="D182" s="137" t="s">
        <v>141</v>
      </c>
      <c r="E182" s="138" t="s">
        <v>603</v>
      </c>
      <c r="F182" s="139" t="s">
        <v>604</v>
      </c>
      <c r="G182" s="140" t="s">
        <v>187</v>
      </c>
      <c r="H182" s="141">
        <f>H184</f>
        <v>25.64</v>
      </c>
      <c r="I182" s="142"/>
      <c r="J182" s="142">
        <f>ROUND(I182*H182,2)</f>
        <v>0</v>
      </c>
      <c r="K182" s="139" t="s">
        <v>148</v>
      </c>
      <c r="L182" s="32"/>
      <c r="M182" s="143" t="s">
        <v>3</v>
      </c>
      <c r="N182" s="144" t="s">
        <v>43</v>
      </c>
      <c r="O182" s="145">
        <v>4.8000000000000001E-2</v>
      </c>
      <c r="P182" s="145">
        <f>O182*H182</f>
        <v>1.23072</v>
      </c>
      <c r="Q182" s="145">
        <v>0</v>
      </c>
      <c r="R182" s="145">
        <f>Q182*H182</f>
        <v>0</v>
      </c>
      <c r="S182" s="145">
        <v>0</v>
      </c>
      <c r="T182" s="146">
        <f>S182*H182</f>
        <v>0</v>
      </c>
      <c r="U182" s="31"/>
      <c r="V182" s="31"/>
      <c r="W182" s="31"/>
      <c r="X182" s="31"/>
      <c r="Y182" s="31"/>
      <c r="Z182" s="31"/>
      <c r="AA182" s="31"/>
      <c r="AB182" s="31"/>
      <c r="AC182" s="31"/>
      <c r="AD182" s="31"/>
      <c r="AE182" s="31"/>
      <c r="AR182" s="147" t="s">
        <v>200</v>
      </c>
      <c r="AT182" s="147" t="s">
        <v>141</v>
      </c>
      <c r="AU182" s="147" t="s">
        <v>82</v>
      </c>
      <c r="AY182" s="19" t="s">
        <v>138</v>
      </c>
      <c r="BE182" s="148">
        <f>IF(N182="základní",J182,0)</f>
        <v>0</v>
      </c>
      <c r="BF182" s="148">
        <f>IF(N182="snížená",J182,0)</f>
        <v>0</v>
      </c>
      <c r="BG182" s="148">
        <f>IF(N182="zákl. přenesená",J182,0)</f>
        <v>0</v>
      </c>
      <c r="BH182" s="148">
        <f>IF(N182="sníž. přenesená",J182,0)</f>
        <v>0</v>
      </c>
      <c r="BI182" s="148">
        <f>IF(N182="nulová",J182,0)</f>
        <v>0</v>
      </c>
      <c r="BJ182" s="19" t="s">
        <v>80</v>
      </c>
      <c r="BK182" s="148">
        <f>ROUND(I182*H182,2)</f>
        <v>0</v>
      </c>
      <c r="BL182" s="19" t="s">
        <v>200</v>
      </c>
      <c r="BM182" s="147" t="s">
        <v>605</v>
      </c>
    </row>
    <row r="183" spans="1:65" s="13" customFormat="1">
      <c r="B183" s="149"/>
      <c r="D183" s="150" t="s">
        <v>145</v>
      </c>
      <c r="E183" s="151" t="s">
        <v>3</v>
      </c>
      <c r="F183" s="152" t="s">
        <v>198</v>
      </c>
      <c r="H183" s="151" t="s">
        <v>3</v>
      </c>
      <c r="L183" s="149"/>
      <c r="M183" s="153"/>
      <c r="N183" s="154"/>
      <c r="O183" s="154"/>
      <c r="P183" s="154"/>
      <c r="Q183" s="154"/>
      <c r="R183" s="154"/>
      <c r="S183" s="154"/>
      <c r="T183" s="155"/>
      <c r="AT183" s="151" t="s">
        <v>145</v>
      </c>
      <c r="AU183" s="151" t="s">
        <v>82</v>
      </c>
      <c r="AV183" s="13" t="s">
        <v>80</v>
      </c>
      <c r="AW183" s="13" t="s">
        <v>34</v>
      </c>
      <c r="AX183" s="13" t="s">
        <v>72</v>
      </c>
      <c r="AY183" s="151" t="s">
        <v>138</v>
      </c>
    </row>
    <row r="184" spans="1:65" s="14" customFormat="1">
      <c r="B184" s="156"/>
      <c r="D184" s="150" t="s">
        <v>145</v>
      </c>
      <c r="E184" s="157" t="s">
        <v>3</v>
      </c>
      <c r="F184" s="158" t="s">
        <v>1356</v>
      </c>
      <c r="H184" s="159">
        <f>4+11.64+3+7</f>
        <v>25.64</v>
      </c>
      <c r="L184" s="156"/>
      <c r="M184" s="160"/>
      <c r="N184" s="161"/>
      <c r="O184" s="161"/>
      <c r="P184" s="161"/>
      <c r="Q184" s="161"/>
      <c r="R184" s="161"/>
      <c r="S184" s="161"/>
      <c r="T184" s="162"/>
      <c r="AT184" s="157" t="s">
        <v>145</v>
      </c>
      <c r="AU184" s="157" t="s">
        <v>82</v>
      </c>
      <c r="AV184" s="14" t="s">
        <v>82</v>
      </c>
      <c r="AW184" s="14" t="s">
        <v>34</v>
      </c>
      <c r="AX184" s="14" t="s">
        <v>80</v>
      </c>
      <c r="AY184" s="157" t="s">
        <v>138</v>
      </c>
    </row>
    <row r="185" spans="1:65" s="2" customFormat="1" ht="37.9" customHeight="1">
      <c r="A185" s="31"/>
      <c r="B185" s="136"/>
      <c r="C185" s="137">
        <v>25</v>
      </c>
      <c r="D185" s="137" t="s">
        <v>141</v>
      </c>
      <c r="E185" s="138" t="s">
        <v>606</v>
      </c>
      <c r="F185" s="139" t="s">
        <v>607</v>
      </c>
      <c r="G185" s="140" t="s">
        <v>308</v>
      </c>
      <c r="H185" s="141">
        <f>SUM(J158:J182)/100</f>
        <v>0</v>
      </c>
      <c r="I185" s="142"/>
      <c r="J185" s="142">
        <f>ROUND(I185*H185,2)</f>
        <v>0</v>
      </c>
      <c r="K185" s="139" t="s">
        <v>148</v>
      </c>
      <c r="L185" s="32"/>
      <c r="M185" s="143" t="s">
        <v>3</v>
      </c>
      <c r="N185" s="144" t="s">
        <v>43</v>
      </c>
      <c r="O185" s="145">
        <v>0</v>
      </c>
      <c r="P185" s="145">
        <f>O185*H185</f>
        <v>0</v>
      </c>
      <c r="Q185" s="145">
        <v>0</v>
      </c>
      <c r="R185" s="145">
        <f>Q185*H185</f>
        <v>0</v>
      </c>
      <c r="S185" s="145">
        <v>0</v>
      </c>
      <c r="T185" s="146">
        <f>S185*H185</f>
        <v>0</v>
      </c>
      <c r="U185" s="31"/>
      <c r="V185" s="31"/>
      <c r="W185" s="31"/>
      <c r="X185" s="31"/>
      <c r="Y185" s="31"/>
      <c r="Z185" s="31"/>
      <c r="AA185" s="31"/>
      <c r="AB185" s="31"/>
      <c r="AC185" s="31"/>
      <c r="AD185" s="31"/>
      <c r="AE185" s="31"/>
      <c r="AR185" s="147" t="s">
        <v>200</v>
      </c>
      <c r="AT185" s="147" t="s">
        <v>141</v>
      </c>
      <c r="AU185" s="147" t="s">
        <v>82</v>
      </c>
      <c r="AY185" s="19" t="s">
        <v>138</v>
      </c>
      <c r="BE185" s="148">
        <f>IF(N185="základní",J185,0)</f>
        <v>0</v>
      </c>
      <c r="BF185" s="148">
        <f>IF(N185="snížená",J185,0)</f>
        <v>0</v>
      </c>
      <c r="BG185" s="148">
        <f>IF(N185="zákl. přenesená",J185,0)</f>
        <v>0</v>
      </c>
      <c r="BH185" s="148">
        <f>IF(N185="sníž. přenesená",J185,0)</f>
        <v>0</v>
      </c>
      <c r="BI185" s="148">
        <f>IF(N185="nulová",J185,0)</f>
        <v>0</v>
      </c>
      <c r="BJ185" s="19" t="s">
        <v>80</v>
      </c>
      <c r="BK185" s="148">
        <f>ROUND(I185*H185,2)</f>
        <v>0</v>
      </c>
      <c r="BL185" s="19" t="s">
        <v>200</v>
      </c>
      <c r="BM185" s="147" t="s">
        <v>608</v>
      </c>
    </row>
    <row r="186" spans="1:65" s="2" customFormat="1" ht="126.75">
      <c r="A186" s="31"/>
      <c r="B186" s="32"/>
      <c r="C186" s="31"/>
      <c r="D186" s="150" t="s">
        <v>149</v>
      </c>
      <c r="E186" s="31"/>
      <c r="F186" s="163" t="s">
        <v>392</v>
      </c>
      <c r="G186" s="31"/>
      <c r="H186" s="31"/>
      <c r="I186" s="31"/>
      <c r="J186" s="31"/>
      <c r="K186" s="31"/>
      <c r="L186" s="32"/>
      <c r="M186" s="164"/>
      <c r="N186" s="165"/>
      <c r="O186" s="52"/>
      <c r="P186" s="52"/>
      <c r="Q186" s="52"/>
      <c r="R186" s="52"/>
      <c r="S186" s="52"/>
      <c r="T186" s="53"/>
      <c r="U186" s="31"/>
      <c r="V186" s="31"/>
      <c r="W186" s="31"/>
      <c r="X186" s="31"/>
      <c r="Y186" s="31"/>
      <c r="Z186" s="31"/>
      <c r="AA186" s="31"/>
      <c r="AB186" s="31"/>
      <c r="AC186" s="31"/>
      <c r="AD186" s="31"/>
      <c r="AE186" s="31"/>
      <c r="AT186" s="19" t="s">
        <v>149</v>
      </c>
      <c r="AU186" s="19" t="s">
        <v>82</v>
      </c>
    </row>
    <row r="187" spans="1:65" s="2" customFormat="1" ht="49.15" customHeight="1">
      <c r="A187" s="31"/>
      <c r="B187" s="136"/>
      <c r="C187" s="137">
        <v>26</v>
      </c>
      <c r="D187" s="137" t="s">
        <v>141</v>
      </c>
      <c r="E187" s="138" t="s">
        <v>609</v>
      </c>
      <c r="F187" s="139" t="s">
        <v>610</v>
      </c>
      <c r="G187" s="140" t="s">
        <v>308</v>
      </c>
      <c r="H187" s="141">
        <f>H185</f>
        <v>0</v>
      </c>
      <c r="I187" s="142"/>
      <c r="J187" s="142">
        <f>ROUND(I187*H187,2)</f>
        <v>0</v>
      </c>
      <c r="K187" s="139" t="s">
        <v>148</v>
      </c>
      <c r="L187" s="32"/>
      <c r="M187" s="143" t="s">
        <v>3</v>
      </c>
      <c r="N187" s="144" t="s">
        <v>43</v>
      </c>
      <c r="O187" s="145">
        <v>0</v>
      </c>
      <c r="P187" s="145">
        <f>O187*H187</f>
        <v>0</v>
      </c>
      <c r="Q187" s="145">
        <v>0</v>
      </c>
      <c r="R187" s="145">
        <f>Q187*H187</f>
        <v>0</v>
      </c>
      <c r="S187" s="145">
        <v>0</v>
      </c>
      <c r="T187" s="146">
        <f>S187*H187</f>
        <v>0</v>
      </c>
      <c r="U187" s="31"/>
      <c r="V187" s="31"/>
      <c r="W187" s="31"/>
      <c r="X187" s="31"/>
      <c r="Y187" s="31"/>
      <c r="Z187" s="31"/>
      <c r="AA187" s="31"/>
      <c r="AB187" s="31"/>
      <c r="AC187" s="31"/>
      <c r="AD187" s="31"/>
      <c r="AE187" s="31"/>
      <c r="AR187" s="147" t="s">
        <v>200</v>
      </c>
      <c r="AT187" s="147" t="s">
        <v>141</v>
      </c>
      <c r="AU187" s="147" t="s">
        <v>82</v>
      </c>
      <c r="AY187" s="19" t="s">
        <v>138</v>
      </c>
      <c r="BE187" s="148">
        <f>IF(N187="základní",J187,0)</f>
        <v>0</v>
      </c>
      <c r="BF187" s="148">
        <f>IF(N187="snížená",J187,0)</f>
        <v>0</v>
      </c>
      <c r="BG187" s="148">
        <f>IF(N187="zákl. přenesená",J187,0)</f>
        <v>0</v>
      </c>
      <c r="BH187" s="148">
        <f>IF(N187="sníž. přenesená",J187,0)</f>
        <v>0</v>
      </c>
      <c r="BI187" s="148">
        <f>IF(N187="nulová",J187,0)</f>
        <v>0</v>
      </c>
      <c r="BJ187" s="19" t="s">
        <v>80</v>
      </c>
      <c r="BK187" s="148">
        <f>ROUND(I187*H187,2)</f>
        <v>0</v>
      </c>
      <c r="BL187" s="19" t="s">
        <v>200</v>
      </c>
      <c r="BM187" s="147" t="s">
        <v>611</v>
      </c>
    </row>
    <row r="188" spans="1:65" s="2" customFormat="1" ht="126.75">
      <c r="A188" s="31"/>
      <c r="B188" s="32"/>
      <c r="C188" s="31"/>
      <c r="D188" s="150" t="s">
        <v>149</v>
      </c>
      <c r="E188" s="31"/>
      <c r="F188" s="163" t="s">
        <v>392</v>
      </c>
      <c r="G188" s="31"/>
      <c r="H188" s="31"/>
      <c r="I188" s="31"/>
      <c r="J188" s="31"/>
      <c r="K188" s="31"/>
      <c r="L188" s="32"/>
      <c r="M188" s="164"/>
      <c r="N188" s="165"/>
      <c r="O188" s="52"/>
      <c r="P188" s="52"/>
      <c r="Q188" s="52"/>
      <c r="R188" s="52"/>
      <c r="S188" s="52"/>
      <c r="T188" s="53"/>
      <c r="U188" s="31"/>
      <c r="V188" s="31"/>
      <c r="W188" s="31"/>
      <c r="X188" s="31"/>
      <c r="Y188" s="31"/>
      <c r="Z188" s="31"/>
      <c r="AA188" s="31"/>
      <c r="AB188" s="31"/>
      <c r="AC188" s="31"/>
      <c r="AD188" s="31"/>
      <c r="AE188" s="31"/>
      <c r="AT188" s="19" t="s">
        <v>149</v>
      </c>
      <c r="AU188" s="19" t="s">
        <v>82</v>
      </c>
    </row>
    <row r="189" spans="1:65" s="12" customFormat="1" ht="22.9" customHeight="1">
      <c r="B189" s="124"/>
      <c r="D189" s="125" t="s">
        <v>71</v>
      </c>
      <c r="E189" s="134" t="s">
        <v>612</v>
      </c>
      <c r="F189" s="134" t="s">
        <v>613</v>
      </c>
      <c r="J189" s="135">
        <f>BK189</f>
        <v>0</v>
      </c>
      <c r="L189" s="124"/>
      <c r="M189" s="128"/>
      <c r="N189" s="129"/>
      <c r="O189" s="129"/>
      <c r="P189" s="130">
        <f>SUM(P190:P221)</f>
        <v>35.358960000000003</v>
      </c>
      <c r="Q189" s="129"/>
      <c r="R189" s="130">
        <f>SUM(R190:R221)</f>
        <v>4.5733200000000002E-2</v>
      </c>
      <c r="S189" s="129"/>
      <c r="T189" s="131">
        <f>SUM(T190:T221)</f>
        <v>0</v>
      </c>
      <c r="AR189" s="125" t="s">
        <v>82</v>
      </c>
      <c r="AT189" s="132" t="s">
        <v>71</v>
      </c>
      <c r="AU189" s="132" t="s">
        <v>80</v>
      </c>
      <c r="AY189" s="125" t="s">
        <v>138</v>
      </c>
      <c r="BK189" s="133">
        <f>SUM(BK190:BK221)</f>
        <v>0</v>
      </c>
    </row>
    <row r="190" spans="1:65" s="2" customFormat="1" ht="24.2" customHeight="1">
      <c r="A190" s="31"/>
      <c r="B190" s="136"/>
      <c r="C190" s="137">
        <v>27</v>
      </c>
      <c r="D190" s="137" t="s">
        <v>141</v>
      </c>
      <c r="E190" s="138" t="s">
        <v>614</v>
      </c>
      <c r="F190" s="139" t="s">
        <v>615</v>
      </c>
      <c r="G190" s="140" t="s">
        <v>187</v>
      </c>
      <c r="H190" s="141">
        <f>H192</f>
        <v>25.32</v>
      </c>
      <c r="I190" s="142"/>
      <c r="J190" s="142">
        <f>ROUND(I190*H190,2)</f>
        <v>0</v>
      </c>
      <c r="K190" s="139" t="s">
        <v>148</v>
      </c>
      <c r="L190" s="32"/>
      <c r="M190" s="143" t="s">
        <v>3</v>
      </c>
      <c r="N190" s="144" t="s">
        <v>43</v>
      </c>
      <c r="O190" s="145">
        <v>0.55600000000000005</v>
      </c>
      <c r="P190" s="145">
        <f>O190*H190</f>
        <v>14.077920000000001</v>
      </c>
      <c r="Q190" s="145">
        <v>5.1000000000000004E-4</v>
      </c>
      <c r="R190" s="145">
        <f>Q190*H190</f>
        <v>1.2913200000000001E-2</v>
      </c>
      <c r="S190" s="145">
        <v>0</v>
      </c>
      <c r="T190" s="146">
        <f>S190*H190</f>
        <v>0</v>
      </c>
      <c r="U190" s="31"/>
      <c r="V190" s="31"/>
      <c r="W190" s="31"/>
      <c r="X190" s="31"/>
      <c r="Y190" s="31"/>
      <c r="Z190" s="31"/>
      <c r="AA190" s="31"/>
      <c r="AB190" s="31"/>
      <c r="AC190" s="31"/>
      <c r="AD190" s="31"/>
      <c r="AE190" s="31"/>
      <c r="AR190" s="147" t="s">
        <v>200</v>
      </c>
      <c r="AT190" s="147" t="s">
        <v>141</v>
      </c>
      <c r="AU190" s="147" t="s">
        <v>82</v>
      </c>
      <c r="AY190" s="19" t="s">
        <v>138</v>
      </c>
      <c r="BE190" s="148">
        <f>IF(N190="základní",J190,0)</f>
        <v>0</v>
      </c>
      <c r="BF190" s="148">
        <f>IF(N190="snížená",J190,0)</f>
        <v>0</v>
      </c>
      <c r="BG190" s="148">
        <f>IF(N190="zákl. přenesená",J190,0)</f>
        <v>0</v>
      </c>
      <c r="BH190" s="148">
        <f>IF(N190="sníž. přenesená",J190,0)</f>
        <v>0</v>
      </c>
      <c r="BI190" s="148">
        <f>IF(N190="nulová",J190,0)</f>
        <v>0</v>
      </c>
      <c r="BJ190" s="19" t="s">
        <v>80</v>
      </c>
      <c r="BK190" s="148">
        <f>ROUND(I190*H190,2)</f>
        <v>0</v>
      </c>
      <c r="BL190" s="19" t="s">
        <v>200</v>
      </c>
      <c r="BM190" s="147" t="s">
        <v>616</v>
      </c>
    </row>
    <row r="191" spans="1:65" s="13" customFormat="1">
      <c r="B191" s="149"/>
      <c r="D191" s="150" t="s">
        <v>145</v>
      </c>
      <c r="E191" s="151" t="s">
        <v>3</v>
      </c>
      <c r="F191" s="152" t="s">
        <v>1290</v>
      </c>
      <c r="H191" s="151" t="s">
        <v>3</v>
      </c>
      <c r="L191" s="149"/>
      <c r="M191" s="153"/>
      <c r="N191" s="154"/>
      <c r="O191" s="154"/>
      <c r="P191" s="154"/>
      <c r="Q191" s="154"/>
      <c r="R191" s="154"/>
      <c r="S191" s="154"/>
      <c r="T191" s="155"/>
      <c r="AT191" s="151" t="s">
        <v>145</v>
      </c>
      <c r="AU191" s="151" t="s">
        <v>82</v>
      </c>
      <c r="AV191" s="13" t="s">
        <v>80</v>
      </c>
      <c r="AW191" s="13" t="s">
        <v>34</v>
      </c>
      <c r="AX191" s="13" t="s">
        <v>72</v>
      </c>
      <c r="AY191" s="151" t="s">
        <v>138</v>
      </c>
    </row>
    <row r="192" spans="1:65" s="14" customFormat="1" ht="22.5">
      <c r="B192" s="156"/>
      <c r="D192" s="150" t="s">
        <v>145</v>
      </c>
      <c r="E192" s="157" t="s">
        <v>3</v>
      </c>
      <c r="F192" s="158" t="s">
        <v>1341</v>
      </c>
      <c r="H192" s="159">
        <f>(1.75+1+1+1.5+1+2+1+2.5+4.5+3.5+0.75+0.6)*1.2</f>
        <v>25.32</v>
      </c>
      <c r="L192" s="156"/>
      <c r="M192" s="160"/>
      <c r="N192" s="161"/>
      <c r="O192" s="161"/>
      <c r="P192" s="161"/>
      <c r="Q192" s="161"/>
      <c r="R192" s="161"/>
      <c r="S192" s="161"/>
      <c r="T192" s="162"/>
      <c r="AT192" s="157" t="s">
        <v>145</v>
      </c>
      <c r="AU192" s="157" t="s">
        <v>82</v>
      </c>
      <c r="AV192" s="14" t="s">
        <v>82</v>
      </c>
      <c r="AW192" s="14" t="s">
        <v>34</v>
      </c>
      <c r="AX192" s="14" t="s">
        <v>80</v>
      </c>
      <c r="AY192" s="157" t="s">
        <v>138</v>
      </c>
    </row>
    <row r="193" spans="1:65" s="2" customFormat="1" ht="24.2" customHeight="1">
      <c r="A193" s="31"/>
      <c r="B193" s="136"/>
      <c r="C193" s="137">
        <v>28</v>
      </c>
      <c r="D193" s="137" t="s">
        <v>141</v>
      </c>
      <c r="E193" s="138" t="s">
        <v>618</v>
      </c>
      <c r="F193" s="139" t="s">
        <v>619</v>
      </c>
      <c r="G193" s="140" t="s">
        <v>187</v>
      </c>
      <c r="H193" s="141">
        <f>H195</f>
        <v>1.7999999999999998</v>
      </c>
      <c r="I193" s="142"/>
      <c r="J193" s="142">
        <f>ROUND(I193*H193,2)</f>
        <v>0</v>
      </c>
      <c r="K193" s="139" t="s">
        <v>148</v>
      </c>
      <c r="L193" s="32"/>
      <c r="M193" s="143" t="s">
        <v>3</v>
      </c>
      <c r="N193" s="144" t="s">
        <v>43</v>
      </c>
      <c r="O193" s="145">
        <v>0.52900000000000003</v>
      </c>
      <c r="P193" s="145">
        <f>O193*H193</f>
        <v>0.95219999999999994</v>
      </c>
      <c r="Q193" s="145">
        <v>8.4000000000000003E-4</v>
      </c>
      <c r="R193" s="145">
        <f>Q193*H193</f>
        <v>1.5119999999999999E-3</v>
      </c>
      <c r="S193" s="145">
        <v>0</v>
      </c>
      <c r="T193" s="146">
        <f>S193*H193</f>
        <v>0</v>
      </c>
      <c r="U193" s="31"/>
      <c r="V193" s="31"/>
      <c r="W193" s="31"/>
      <c r="X193" s="31"/>
      <c r="Y193" s="31"/>
      <c r="Z193" s="31"/>
      <c r="AA193" s="31"/>
      <c r="AB193" s="31"/>
      <c r="AC193" s="31"/>
      <c r="AD193" s="31"/>
      <c r="AE193" s="31"/>
      <c r="AR193" s="147" t="s">
        <v>200</v>
      </c>
      <c r="AT193" s="147" t="s">
        <v>141</v>
      </c>
      <c r="AU193" s="147" t="s">
        <v>82</v>
      </c>
      <c r="AY193" s="19" t="s">
        <v>138</v>
      </c>
      <c r="BE193" s="148">
        <f>IF(N193="základní",J193,0)</f>
        <v>0</v>
      </c>
      <c r="BF193" s="148">
        <f>IF(N193="snížená",J193,0)</f>
        <v>0</v>
      </c>
      <c r="BG193" s="148">
        <f>IF(N193="zákl. přenesená",J193,0)</f>
        <v>0</v>
      </c>
      <c r="BH193" s="148">
        <f>IF(N193="sníž. přenesená",J193,0)</f>
        <v>0</v>
      </c>
      <c r="BI193" s="148">
        <f>IF(N193="nulová",J193,0)</f>
        <v>0</v>
      </c>
      <c r="BJ193" s="19" t="s">
        <v>80</v>
      </c>
      <c r="BK193" s="148">
        <f>ROUND(I193*H193,2)</f>
        <v>0</v>
      </c>
      <c r="BL193" s="19" t="s">
        <v>200</v>
      </c>
      <c r="BM193" s="147" t="s">
        <v>620</v>
      </c>
    </row>
    <row r="194" spans="1:65" s="13" customFormat="1">
      <c r="B194" s="149"/>
      <c r="D194" s="150" t="s">
        <v>145</v>
      </c>
      <c r="E194" s="151" t="s">
        <v>3</v>
      </c>
      <c r="F194" s="152" t="s">
        <v>1290</v>
      </c>
      <c r="H194" s="151" t="s">
        <v>3</v>
      </c>
      <c r="L194" s="149"/>
      <c r="M194" s="153"/>
      <c r="N194" s="154"/>
      <c r="O194" s="154"/>
      <c r="P194" s="154"/>
      <c r="Q194" s="154"/>
      <c r="R194" s="154"/>
      <c r="S194" s="154"/>
      <c r="T194" s="155"/>
      <c r="AT194" s="151" t="s">
        <v>145</v>
      </c>
      <c r="AU194" s="151" t="s">
        <v>82</v>
      </c>
      <c r="AV194" s="13" t="s">
        <v>80</v>
      </c>
      <c r="AW194" s="13" t="s">
        <v>34</v>
      </c>
      <c r="AX194" s="13" t="s">
        <v>72</v>
      </c>
      <c r="AY194" s="151" t="s">
        <v>138</v>
      </c>
    </row>
    <row r="195" spans="1:65" s="14" customFormat="1">
      <c r="B195" s="156"/>
      <c r="D195" s="150" t="s">
        <v>145</v>
      </c>
      <c r="E195" s="157" t="s">
        <v>3</v>
      </c>
      <c r="F195" s="158" t="s">
        <v>1363</v>
      </c>
      <c r="H195" s="159">
        <f>1.5*1.2</f>
        <v>1.7999999999999998</v>
      </c>
      <c r="L195" s="156"/>
      <c r="M195" s="160"/>
      <c r="N195" s="161"/>
      <c r="O195" s="161"/>
      <c r="P195" s="161"/>
      <c r="Q195" s="161"/>
      <c r="R195" s="161"/>
      <c r="S195" s="161"/>
      <c r="T195" s="162"/>
      <c r="AT195" s="157" t="s">
        <v>145</v>
      </c>
      <c r="AU195" s="157" t="s">
        <v>82</v>
      </c>
      <c r="AV195" s="14" t="s">
        <v>82</v>
      </c>
      <c r="AW195" s="14" t="s">
        <v>34</v>
      </c>
      <c r="AX195" s="14" t="s">
        <v>80</v>
      </c>
      <c r="AY195" s="157" t="s">
        <v>138</v>
      </c>
    </row>
    <row r="196" spans="1:65" s="2" customFormat="1" ht="24.2" customHeight="1">
      <c r="B196" s="301"/>
      <c r="C196" s="137">
        <v>29</v>
      </c>
      <c r="D196" s="137" t="s">
        <v>141</v>
      </c>
      <c r="E196" s="138" t="s">
        <v>1357</v>
      </c>
      <c r="F196" s="139" t="s">
        <v>1358</v>
      </c>
      <c r="G196" s="140" t="s">
        <v>187</v>
      </c>
      <c r="H196" s="141">
        <f>H198</f>
        <v>6.6</v>
      </c>
      <c r="I196" s="142"/>
      <c r="J196" s="142">
        <f>ROUND(I196*H196,2)</f>
        <v>0</v>
      </c>
      <c r="K196" s="139" t="s">
        <v>148</v>
      </c>
      <c r="L196" s="89"/>
      <c r="M196" s="143" t="s">
        <v>3</v>
      </c>
      <c r="N196" s="302" t="s">
        <v>43</v>
      </c>
      <c r="O196" s="303">
        <v>0.61599999999999999</v>
      </c>
      <c r="P196" s="303">
        <f>O196*H196</f>
        <v>4.0655999999999999</v>
      </c>
      <c r="Q196" s="303">
        <v>1.16E-3</v>
      </c>
      <c r="R196" s="303">
        <f>Q196*H196</f>
        <v>7.6559999999999996E-3</v>
      </c>
      <c r="S196" s="303">
        <v>0</v>
      </c>
      <c r="T196" s="146">
        <f>S196*H196</f>
        <v>0</v>
      </c>
      <c r="AR196" s="147" t="s">
        <v>200</v>
      </c>
      <c r="AT196" s="147" t="s">
        <v>141</v>
      </c>
      <c r="AU196" s="147" t="s">
        <v>82</v>
      </c>
      <c r="AY196" s="304" t="s">
        <v>138</v>
      </c>
      <c r="BE196" s="305">
        <f>IF(N196="základní",J196,0)</f>
        <v>0</v>
      </c>
      <c r="BF196" s="305">
        <f>IF(N196="snížená",J196,0)</f>
        <v>0</v>
      </c>
      <c r="BG196" s="305">
        <f>IF(N196="zákl. přenesená",J196,0)</f>
        <v>0</v>
      </c>
      <c r="BH196" s="305">
        <f>IF(N196="sníž. přenesená",J196,0)</f>
        <v>0</v>
      </c>
      <c r="BI196" s="305">
        <f>IF(N196="nulová",J196,0)</f>
        <v>0</v>
      </c>
      <c r="BJ196" s="304" t="s">
        <v>80</v>
      </c>
      <c r="BK196" s="305">
        <f>ROUND(I196*H196,2)</f>
        <v>0</v>
      </c>
      <c r="BL196" s="304" t="s">
        <v>200</v>
      </c>
      <c r="BM196" s="147" t="s">
        <v>1359</v>
      </c>
    </row>
    <row r="197" spans="1:65" s="13" customFormat="1">
      <c r="B197" s="149"/>
      <c r="D197" s="150" t="s">
        <v>145</v>
      </c>
      <c r="E197" s="151" t="s">
        <v>3</v>
      </c>
      <c r="F197" s="152" t="s">
        <v>617</v>
      </c>
      <c r="H197" s="151" t="s">
        <v>3</v>
      </c>
      <c r="L197" s="149"/>
      <c r="M197" s="153"/>
      <c r="N197" s="306"/>
      <c r="O197" s="306"/>
      <c r="P197" s="306"/>
      <c r="Q197" s="306"/>
      <c r="R197" s="306"/>
      <c r="S197" s="306"/>
      <c r="T197" s="155"/>
      <c r="AT197" s="151" t="s">
        <v>145</v>
      </c>
      <c r="AU197" s="151" t="s">
        <v>82</v>
      </c>
      <c r="AV197" s="13" t="s">
        <v>80</v>
      </c>
      <c r="AW197" s="13" t="s">
        <v>34</v>
      </c>
      <c r="AX197" s="13" t="s">
        <v>72</v>
      </c>
      <c r="AY197" s="151" t="s">
        <v>138</v>
      </c>
    </row>
    <row r="198" spans="1:65" s="14" customFormat="1">
      <c r="B198" s="156"/>
      <c r="D198" s="150" t="s">
        <v>145</v>
      </c>
      <c r="E198" s="157" t="s">
        <v>3</v>
      </c>
      <c r="F198" s="158" t="s">
        <v>1364</v>
      </c>
      <c r="H198" s="159">
        <f>(1.5+4)*1.2</f>
        <v>6.6</v>
      </c>
      <c r="L198" s="156"/>
      <c r="M198" s="160"/>
      <c r="N198" s="307"/>
      <c r="O198" s="307"/>
      <c r="P198" s="307"/>
      <c r="Q198" s="307"/>
      <c r="R198" s="307"/>
      <c r="S198" s="307"/>
      <c r="T198" s="162"/>
      <c r="AT198" s="157" t="s">
        <v>145</v>
      </c>
      <c r="AU198" s="157" t="s">
        <v>82</v>
      </c>
      <c r="AV198" s="14" t="s">
        <v>82</v>
      </c>
      <c r="AW198" s="14" t="s">
        <v>34</v>
      </c>
      <c r="AX198" s="14" t="s">
        <v>80</v>
      </c>
      <c r="AY198" s="157" t="s">
        <v>138</v>
      </c>
    </row>
    <row r="199" spans="1:65" s="2" customFormat="1" ht="49.15" customHeight="1">
      <c r="A199" s="31"/>
      <c r="B199" s="136"/>
      <c r="C199" s="137">
        <v>30</v>
      </c>
      <c r="D199" s="137" t="s">
        <v>141</v>
      </c>
      <c r="E199" s="138" t="s">
        <v>621</v>
      </c>
      <c r="F199" s="139" t="s">
        <v>622</v>
      </c>
      <c r="G199" s="140" t="s">
        <v>187</v>
      </c>
      <c r="H199" s="141">
        <f>H202</f>
        <v>27.12</v>
      </c>
      <c r="I199" s="142"/>
      <c r="J199" s="142">
        <f>ROUND(I199*H199,2)</f>
        <v>0</v>
      </c>
      <c r="K199" s="139" t="s">
        <v>148</v>
      </c>
      <c r="L199" s="32"/>
      <c r="M199" s="143" t="s">
        <v>3</v>
      </c>
      <c r="N199" s="144" t="s">
        <v>43</v>
      </c>
      <c r="O199" s="145">
        <v>0.11799999999999999</v>
      </c>
      <c r="P199" s="145">
        <f>O199*H199</f>
        <v>3.2001599999999999</v>
      </c>
      <c r="Q199" s="145">
        <v>2.0000000000000001E-4</v>
      </c>
      <c r="R199" s="145">
        <f>Q199*H199</f>
        <v>5.4240000000000009E-3</v>
      </c>
      <c r="S199" s="145">
        <v>0</v>
      </c>
      <c r="T199" s="146">
        <f>S199*H199</f>
        <v>0</v>
      </c>
      <c r="U199" s="31"/>
      <c r="V199" s="31"/>
      <c r="W199" s="31"/>
      <c r="X199" s="31"/>
      <c r="Y199" s="31"/>
      <c r="Z199" s="31"/>
      <c r="AA199" s="31"/>
      <c r="AB199" s="31"/>
      <c r="AC199" s="31"/>
      <c r="AD199" s="31"/>
      <c r="AE199" s="31"/>
      <c r="AR199" s="147" t="s">
        <v>200</v>
      </c>
      <c r="AT199" s="147" t="s">
        <v>141</v>
      </c>
      <c r="AU199" s="147" t="s">
        <v>82</v>
      </c>
      <c r="AY199" s="19" t="s">
        <v>138</v>
      </c>
      <c r="BE199" s="148">
        <f>IF(N199="základní",J199,0)</f>
        <v>0</v>
      </c>
      <c r="BF199" s="148">
        <f>IF(N199="snížená",J199,0)</f>
        <v>0</v>
      </c>
      <c r="BG199" s="148">
        <f>IF(N199="zákl. přenesená",J199,0)</f>
        <v>0</v>
      </c>
      <c r="BH199" s="148">
        <f>IF(N199="sníž. přenesená",J199,0)</f>
        <v>0</v>
      </c>
      <c r="BI199" s="148">
        <f>IF(N199="nulová",J199,0)</f>
        <v>0</v>
      </c>
      <c r="BJ199" s="19" t="s">
        <v>80</v>
      </c>
      <c r="BK199" s="148">
        <f>ROUND(I199*H199,2)</f>
        <v>0</v>
      </c>
      <c r="BL199" s="19" t="s">
        <v>200</v>
      </c>
      <c r="BM199" s="147" t="s">
        <v>623</v>
      </c>
    </row>
    <row r="200" spans="1:65" s="2" customFormat="1" ht="39">
      <c r="A200" s="31"/>
      <c r="B200" s="32"/>
      <c r="C200" s="31"/>
      <c r="D200" s="150" t="s">
        <v>149</v>
      </c>
      <c r="E200" s="31"/>
      <c r="F200" s="163" t="s">
        <v>624</v>
      </c>
      <c r="G200" s="31"/>
      <c r="H200" s="31"/>
      <c r="I200" s="31"/>
      <c r="J200" s="31"/>
      <c r="K200" s="31"/>
      <c r="L200" s="32"/>
      <c r="M200" s="164"/>
      <c r="N200" s="165"/>
      <c r="O200" s="52"/>
      <c r="P200" s="52"/>
      <c r="Q200" s="52"/>
      <c r="R200" s="52"/>
      <c r="S200" s="52"/>
      <c r="T200" s="53"/>
      <c r="U200" s="31"/>
      <c r="V200" s="31"/>
      <c r="W200" s="31"/>
      <c r="X200" s="31"/>
      <c r="Y200" s="31"/>
      <c r="Z200" s="31"/>
      <c r="AA200" s="31"/>
      <c r="AB200" s="31"/>
      <c r="AC200" s="31"/>
      <c r="AD200" s="31"/>
      <c r="AE200" s="31"/>
      <c r="AT200" s="19" t="s">
        <v>149</v>
      </c>
      <c r="AU200" s="19" t="s">
        <v>82</v>
      </c>
    </row>
    <row r="201" spans="1:65" s="13" customFormat="1">
      <c r="B201" s="149"/>
      <c r="D201" s="150" t="s">
        <v>145</v>
      </c>
      <c r="E201" s="151" t="s">
        <v>3</v>
      </c>
      <c r="F201" s="152" t="s">
        <v>198</v>
      </c>
      <c r="H201" s="151" t="s">
        <v>3</v>
      </c>
      <c r="L201" s="149"/>
      <c r="M201" s="153"/>
      <c r="N201" s="154"/>
      <c r="O201" s="154"/>
      <c r="P201" s="154"/>
      <c r="Q201" s="154"/>
      <c r="R201" s="154"/>
      <c r="S201" s="154"/>
      <c r="T201" s="155"/>
      <c r="AT201" s="151" t="s">
        <v>145</v>
      </c>
      <c r="AU201" s="151" t="s">
        <v>82</v>
      </c>
      <c r="AV201" s="13" t="s">
        <v>80</v>
      </c>
      <c r="AW201" s="13" t="s">
        <v>34</v>
      </c>
      <c r="AX201" s="13" t="s">
        <v>72</v>
      </c>
      <c r="AY201" s="151" t="s">
        <v>138</v>
      </c>
    </row>
    <row r="202" spans="1:65" s="14" customFormat="1">
      <c r="B202" s="156"/>
      <c r="D202" s="150" t="s">
        <v>145</v>
      </c>
      <c r="E202" s="157" t="s">
        <v>3</v>
      </c>
      <c r="F202" s="158" t="s">
        <v>1365</v>
      </c>
      <c r="H202" s="159">
        <f>H190+H193</f>
        <v>27.12</v>
      </c>
      <c r="L202" s="156"/>
      <c r="M202" s="160"/>
      <c r="N202" s="161"/>
      <c r="O202" s="161"/>
      <c r="P202" s="161"/>
      <c r="Q202" s="161"/>
      <c r="R202" s="161"/>
      <c r="S202" s="161"/>
      <c r="T202" s="162"/>
      <c r="AT202" s="157" t="s">
        <v>145</v>
      </c>
      <c r="AU202" s="157" t="s">
        <v>82</v>
      </c>
      <c r="AV202" s="14" t="s">
        <v>82</v>
      </c>
      <c r="AW202" s="14" t="s">
        <v>34</v>
      </c>
      <c r="AX202" s="14" t="s">
        <v>80</v>
      </c>
      <c r="AY202" s="157" t="s">
        <v>138</v>
      </c>
    </row>
    <row r="203" spans="1:65" s="2" customFormat="1" ht="49.15" customHeight="1">
      <c r="B203" s="301"/>
      <c r="C203" s="137">
        <v>31</v>
      </c>
      <c r="D203" s="137" t="s">
        <v>141</v>
      </c>
      <c r="E203" s="138" t="s">
        <v>1360</v>
      </c>
      <c r="F203" s="139" t="s">
        <v>1361</v>
      </c>
      <c r="G203" s="140" t="s">
        <v>187</v>
      </c>
      <c r="H203" s="141">
        <f>H196</f>
        <v>6.6</v>
      </c>
      <c r="I203" s="142"/>
      <c r="J203" s="142">
        <f>ROUND(I203*H203,2)</f>
        <v>0</v>
      </c>
      <c r="K203" s="139" t="s">
        <v>148</v>
      </c>
      <c r="L203" s="89"/>
      <c r="M203" s="143" t="s">
        <v>3</v>
      </c>
      <c r="N203" s="302" t="s">
        <v>43</v>
      </c>
      <c r="O203" s="303">
        <v>0.11799999999999999</v>
      </c>
      <c r="P203" s="303">
        <f>O203*H203</f>
        <v>0.77879999999999994</v>
      </c>
      <c r="Q203" s="303">
        <v>2.4000000000000001E-4</v>
      </c>
      <c r="R203" s="303">
        <f>Q203*H203</f>
        <v>1.5839999999999999E-3</v>
      </c>
      <c r="S203" s="303">
        <v>0</v>
      </c>
      <c r="T203" s="146">
        <f>S203*H203</f>
        <v>0</v>
      </c>
      <c r="AR203" s="147" t="s">
        <v>200</v>
      </c>
      <c r="AT203" s="147" t="s">
        <v>141</v>
      </c>
      <c r="AU203" s="147" t="s">
        <v>82</v>
      </c>
      <c r="AY203" s="304" t="s">
        <v>138</v>
      </c>
      <c r="BE203" s="305">
        <f>IF(N203="základní",J203,0)</f>
        <v>0</v>
      </c>
      <c r="BF203" s="305">
        <f>IF(N203="snížená",J203,0)</f>
        <v>0</v>
      </c>
      <c r="BG203" s="305">
        <f>IF(N203="zákl. přenesená",J203,0)</f>
        <v>0</v>
      </c>
      <c r="BH203" s="305">
        <f>IF(N203="sníž. přenesená",J203,0)</f>
        <v>0</v>
      </c>
      <c r="BI203" s="305">
        <f>IF(N203="nulová",J203,0)</f>
        <v>0</v>
      </c>
      <c r="BJ203" s="304" t="s">
        <v>80</v>
      </c>
      <c r="BK203" s="305">
        <f>ROUND(I203*H203,2)</f>
        <v>0</v>
      </c>
      <c r="BL203" s="304" t="s">
        <v>200</v>
      </c>
      <c r="BM203" s="147" t="s">
        <v>1362</v>
      </c>
    </row>
    <row r="204" spans="1:65" s="2" customFormat="1" ht="39">
      <c r="B204" s="89"/>
      <c r="D204" s="150" t="s">
        <v>149</v>
      </c>
      <c r="F204" s="163" t="s">
        <v>624</v>
      </c>
      <c r="L204" s="89"/>
      <c r="M204" s="314"/>
      <c r="N204" s="315"/>
      <c r="O204" s="315"/>
      <c r="P204" s="315"/>
      <c r="Q204" s="315"/>
      <c r="R204" s="315"/>
      <c r="S204" s="315"/>
      <c r="T204" s="316"/>
      <c r="AT204" s="304" t="s">
        <v>149</v>
      </c>
      <c r="AU204" s="304" t="s">
        <v>82</v>
      </c>
    </row>
    <row r="205" spans="1:65" s="13" customFormat="1">
      <c r="B205" s="149"/>
      <c r="D205" s="150" t="s">
        <v>145</v>
      </c>
      <c r="E205" s="151" t="s">
        <v>3</v>
      </c>
      <c r="F205" s="152" t="s">
        <v>198</v>
      </c>
      <c r="H205" s="151" t="s">
        <v>3</v>
      </c>
      <c r="L205" s="149"/>
      <c r="M205" s="153"/>
      <c r="N205" s="306"/>
      <c r="O205" s="306"/>
      <c r="P205" s="306"/>
      <c r="Q205" s="306"/>
      <c r="R205" s="306"/>
      <c r="S205" s="306"/>
      <c r="T205" s="155"/>
      <c r="AT205" s="151" t="s">
        <v>145</v>
      </c>
      <c r="AU205" s="151" t="s">
        <v>82</v>
      </c>
      <c r="AV205" s="13" t="s">
        <v>80</v>
      </c>
      <c r="AW205" s="13" t="s">
        <v>34</v>
      </c>
      <c r="AX205" s="13" t="s">
        <v>72</v>
      </c>
      <c r="AY205" s="151" t="s">
        <v>138</v>
      </c>
    </row>
    <row r="206" spans="1:65" s="14" customFormat="1">
      <c r="B206" s="156"/>
      <c r="D206" s="150" t="s">
        <v>145</v>
      </c>
      <c r="E206" s="157" t="s">
        <v>3</v>
      </c>
      <c r="F206" s="158">
        <v>6.6</v>
      </c>
      <c r="H206" s="159">
        <f>H198</f>
        <v>6.6</v>
      </c>
      <c r="L206" s="156"/>
      <c r="M206" s="160"/>
      <c r="N206" s="307"/>
      <c r="O206" s="307"/>
      <c r="P206" s="307"/>
      <c r="Q206" s="307"/>
      <c r="R206" s="307"/>
      <c r="S206" s="307"/>
      <c r="T206" s="162"/>
      <c r="AT206" s="157" t="s">
        <v>145</v>
      </c>
      <c r="AU206" s="157" t="s">
        <v>82</v>
      </c>
      <c r="AV206" s="14" t="s">
        <v>82</v>
      </c>
      <c r="AW206" s="14" t="s">
        <v>34</v>
      </c>
      <c r="AX206" s="14" t="s">
        <v>80</v>
      </c>
      <c r="AY206" s="157" t="s">
        <v>138</v>
      </c>
    </row>
    <row r="207" spans="1:65" s="2" customFormat="1" ht="24.2" customHeight="1">
      <c r="A207" s="31"/>
      <c r="B207" s="136"/>
      <c r="C207" s="137">
        <v>32</v>
      </c>
      <c r="D207" s="137" t="s">
        <v>141</v>
      </c>
      <c r="E207" s="138" t="s">
        <v>625</v>
      </c>
      <c r="F207" s="139" t="s">
        <v>626</v>
      </c>
      <c r="G207" s="140" t="s">
        <v>147</v>
      </c>
      <c r="H207" s="141">
        <f>H210</f>
        <v>22</v>
      </c>
      <c r="I207" s="142"/>
      <c r="J207" s="142">
        <f>ROUND(I207*H207,2)</f>
        <v>0</v>
      </c>
      <c r="K207" s="139" t="s">
        <v>148</v>
      </c>
      <c r="L207" s="32"/>
      <c r="M207" s="143" t="s">
        <v>3</v>
      </c>
      <c r="N207" s="144" t="s">
        <v>43</v>
      </c>
      <c r="O207" s="145">
        <v>0.17</v>
      </c>
      <c r="P207" s="145">
        <f>O207*H207</f>
        <v>3.74</v>
      </c>
      <c r="Q207" s="145">
        <v>1.7000000000000001E-4</v>
      </c>
      <c r="R207" s="145">
        <f>Q207*H207</f>
        <v>3.7400000000000003E-3</v>
      </c>
      <c r="S207" s="145">
        <v>0</v>
      </c>
      <c r="T207" s="146">
        <f>S207*H207</f>
        <v>0</v>
      </c>
      <c r="U207" s="31"/>
      <c r="V207" s="31"/>
      <c r="W207" s="31"/>
      <c r="X207" s="31"/>
      <c r="Y207" s="31"/>
      <c r="Z207" s="31"/>
      <c r="AA207" s="31"/>
      <c r="AB207" s="31"/>
      <c r="AC207" s="31"/>
      <c r="AD207" s="31"/>
      <c r="AE207" s="31"/>
      <c r="AR207" s="147" t="s">
        <v>200</v>
      </c>
      <c r="AT207" s="147" t="s">
        <v>141</v>
      </c>
      <c r="AU207" s="147" t="s">
        <v>82</v>
      </c>
      <c r="AY207" s="19" t="s">
        <v>138</v>
      </c>
      <c r="BE207" s="148">
        <f>IF(N207="základní",J207,0)</f>
        <v>0</v>
      </c>
      <c r="BF207" s="148">
        <f>IF(N207="snížená",J207,0)</f>
        <v>0</v>
      </c>
      <c r="BG207" s="148">
        <f>IF(N207="zákl. přenesená",J207,0)</f>
        <v>0</v>
      </c>
      <c r="BH207" s="148">
        <f>IF(N207="sníž. přenesená",J207,0)</f>
        <v>0</v>
      </c>
      <c r="BI207" s="148">
        <f>IF(N207="nulová",J207,0)</f>
        <v>0</v>
      </c>
      <c r="BJ207" s="19" t="s">
        <v>80</v>
      </c>
      <c r="BK207" s="148">
        <f>ROUND(I207*H207,2)</f>
        <v>0</v>
      </c>
      <c r="BL207" s="19" t="s">
        <v>200</v>
      </c>
      <c r="BM207" s="147" t="s">
        <v>627</v>
      </c>
    </row>
    <row r="208" spans="1:65" s="2" customFormat="1" ht="48.75">
      <c r="A208" s="31"/>
      <c r="B208" s="32"/>
      <c r="C208" s="31"/>
      <c r="D208" s="150" t="s">
        <v>149</v>
      </c>
      <c r="E208" s="31"/>
      <c r="F208" s="163" t="s">
        <v>628</v>
      </c>
      <c r="G208" s="31"/>
      <c r="H208" s="31"/>
      <c r="I208" s="31"/>
      <c r="J208" s="31"/>
      <c r="K208" s="31"/>
      <c r="L208" s="32"/>
      <c r="M208" s="164"/>
      <c r="N208" s="165"/>
      <c r="O208" s="52"/>
      <c r="P208" s="52"/>
      <c r="Q208" s="52"/>
      <c r="R208" s="52"/>
      <c r="S208" s="52"/>
      <c r="T208" s="53"/>
      <c r="U208" s="31"/>
      <c r="V208" s="31"/>
      <c r="W208" s="31"/>
      <c r="X208" s="31"/>
      <c r="Y208" s="31"/>
      <c r="Z208" s="31"/>
      <c r="AA208" s="31"/>
      <c r="AB208" s="31"/>
      <c r="AC208" s="31"/>
      <c r="AD208" s="31"/>
      <c r="AE208" s="31"/>
      <c r="AT208" s="19" t="s">
        <v>149</v>
      </c>
      <c r="AU208" s="19" t="s">
        <v>82</v>
      </c>
    </row>
    <row r="209" spans="1:65" s="13" customFormat="1">
      <c r="B209" s="149"/>
      <c r="D209" s="150" t="s">
        <v>145</v>
      </c>
      <c r="E209" s="151" t="s">
        <v>3</v>
      </c>
      <c r="F209" s="152" t="s">
        <v>617</v>
      </c>
      <c r="H209" s="151" t="s">
        <v>3</v>
      </c>
      <c r="L209" s="149"/>
      <c r="M209" s="153"/>
      <c r="N209" s="154"/>
      <c r="O209" s="154"/>
      <c r="P209" s="154"/>
      <c r="Q209" s="154"/>
      <c r="R209" s="154"/>
      <c r="S209" s="154"/>
      <c r="T209" s="155"/>
      <c r="AT209" s="151" t="s">
        <v>145</v>
      </c>
      <c r="AU209" s="151" t="s">
        <v>82</v>
      </c>
      <c r="AV209" s="13" t="s">
        <v>80</v>
      </c>
      <c r="AW209" s="13" t="s">
        <v>34</v>
      </c>
      <c r="AX209" s="13" t="s">
        <v>72</v>
      </c>
      <c r="AY209" s="151" t="s">
        <v>138</v>
      </c>
    </row>
    <row r="210" spans="1:65" s="14" customFormat="1">
      <c r="B210" s="156"/>
      <c r="D210" s="150" t="s">
        <v>145</v>
      </c>
      <c r="E210" s="157" t="s">
        <v>3</v>
      </c>
      <c r="F210" s="158" t="s">
        <v>1367</v>
      </c>
      <c r="H210" s="159">
        <v>22</v>
      </c>
      <c r="L210" s="156"/>
      <c r="M210" s="160"/>
      <c r="N210" s="161"/>
      <c r="O210" s="161"/>
      <c r="P210" s="161"/>
      <c r="Q210" s="161"/>
      <c r="R210" s="161"/>
      <c r="S210" s="161"/>
      <c r="T210" s="162"/>
      <c r="AT210" s="157" t="s">
        <v>145</v>
      </c>
      <c r="AU210" s="157" t="s">
        <v>82</v>
      </c>
      <c r="AV210" s="14" t="s">
        <v>82</v>
      </c>
      <c r="AW210" s="14" t="s">
        <v>34</v>
      </c>
      <c r="AX210" s="14" t="s">
        <v>80</v>
      </c>
      <c r="AY210" s="157" t="s">
        <v>138</v>
      </c>
    </row>
    <row r="211" spans="1:65" s="2" customFormat="1" ht="24.2" customHeight="1">
      <c r="A211" s="31"/>
      <c r="B211" s="136"/>
      <c r="C211" s="137">
        <v>33</v>
      </c>
      <c r="D211" s="137" t="s">
        <v>141</v>
      </c>
      <c r="E211" s="138" t="s">
        <v>629</v>
      </c>
      <c r="F211" s="139" t="s">
        <v>630</v>
      </c>
      <c r="G211" s="140" t="s">
        <v>147</v>
      </c>
      <c r="H211" s="141">
        <f>H207</f>
        <v>22</v>
      </c>
      <c r="I211" s="142"/>
      <c r="J211" s="142">
        <f>ROUND(I211*H211,2)</f>
        <v>0</v>
      </c>
      <c r="K211" s="139" t="s">
        <v>148</v>
      </c>
      <c r="L211" s="32"/>
      <c r="M211" s="143" t="s">
        <v>3</v>
      </c>
      <c r="N211" s="144" t="s">
        <v>43</v>
      </c>
      <c r="O211" s="145">
        <v>0.16</v>
      </c>
      <c r="P211" s="145">
        <f>O211*H211</f>
        <v>3.52</v>
      </c>
      <c r="Q211" s="145">
        <v>2.7999999999999998E-4</v>
      </c>
      <c r="R211" s="145">
        <f>Q211*H211</f>
        <v>6.1599999999999997E-3</v>
      </c>
      <c r="S211" s="145">
        <v>0</v>
      </c>
      <c r="T211" s="146">
        <f>S211*H211</f>
        <v>0</v>
      </c>
      <c r="U211" s="31"/>
      <c r="V211" s="31"/>
      <c r="W211" s="31"/>
      <c r="X211" s="31"/>
      <c r="Y211" s="31"/>
      <c r="Z211" s="31"/>
      <c r="AA211" s="31"/>
      <c r="AB211" s="31"/>
      <c r="AC211" s="31"/>
      <c r="AD211" s="31"/>
      <c r="AE211" s="31"/>
      <c r="AR211" s="147" t="s">
        <v>200</v>
      </c>
      <c r="AT211" s="147" t="s">
        <v>141</v>
      </c>
      <c r="AU211" s="147" t="s">
        <v>82</v>
      </c>
      <c r="AY211" s="19" t="s">
        <v>138</v>
      </c>
      <c r="BE211" s="148">
        <f>IF(N211="základní",J211,0)</f>
        <v>0</v>
      </c>
      <c r="BF211" s="148">
        <f>IF(N211="snížená",J211,0)</f>
        <v>0</v>
      </c>
      <c r="BG211" s="148">
        <f>IF(N211="zákl. přenesená",J211,0)</f>
        <v>0</v>
      </c>
      <c r="BH211" s="148">
        <f>IF(N211="sníž. přenesená",J211,0)</f>
        <v>0</v>
      </c>
      <c r="BI211" s="148">
        <f>IF(N211="nulová",J211,0)</f>
        <v>0</v>
      </c>
      <c r="BJ211" s="19" t="s">
        <v>80</v>
      </c>
      <c r="BK211" s="148">
        <f>ROUND(I211*H211,2)</f>
        <v>0</v>
      </c>
      <c r="BL211" s="19" t="s">
        <v>200</v>
      </c>
      <c r="BM211" s="147" t="s">
        <v>631</v>
      </c>
    </row>
    <row r="212" spans="1:65" s="2" customFormat="1" ht="37.9" customHeight="1">
      <c r="A212" s="31"/>
      <c r="B212" s="136"/>
      <c r="C212" s="137">
        <v>34</v>
      </c>
      <c r="D212" s="137" t="s">
        <v>141</v>
      </c>
      <c r="E212" s="138" t="s">
        <v>632</v>
      </c>
      <c r="F212" s="139" t="s">
        <v>633</v>
      </c>
      <c r="G212" s="140" t="s">
        <v>187</v>
      </c>
      <c r="H212" s="141">
        <f>H215</f>
        <v>33.72</v>
      </c>
      <c r="I212" s="142"/>
      <c r="J212" s="142">
        <f>ROUND(I212*H212,2)</f>
        <v>0</v>
      </c>
      <c r="K212" s="139" t="s">
        <v>148</v>
      </c>
      <c r="L212" s="32"/>
      <c r="M212" s="143" t="s">
        <v>3</v>
      </c>
      <c r="N212" s="144" t="s">
        <v>43</v>
      </c>
      <c r="O212" s="145">
        <v>6.7000000000000004E-2</v>
      </c>
      <c r="P212" s="145">
        <f>O212*H212</f>
        <v>2.2592400000000001</v>
      </c>
      <c r="Q212" s="145">
        <v>1.9000000000000001E-4</v>
      </c>
      <c r="R212" s="145">
        <f>Q212*H212</f>
        <v>6.4067999999999998E-3</v>
      </c>
      <c r="S212" s="145">
        <v>0</v>
      </c>
      <c r="T212" s="146">
        <f>S212*H212</f>
        <v>0</v>
      </c>
      <c r="U212" s="31"/>
      <c r="V212" s="31"/>
      <c r="W212" s="31"/>
      <c r="X212" s="31"/>
      <c r="Y212" s="31"/>
      <c r="Z212" s="31"/>
      <c r="AA212" s="31"/>
      <c r="AB212" s="31"/>
      <c r="AC212" s="31"/>
      <c r="AD212" s="31"/>
      <c r="AE212" s="31"/>
      <c r="AR212" s="147" t="s">
        <v>200</v>
      </c>
      <c r="AT212" s="147" t="s">
        <v>141</v>
      </c>
      <c r="AU212" s="147" t="s">
        <v>82</v>
      </c>
      <c r="AY212" s="19" t="s">
        <v>138</v>
      </c>
      <c r="BE212" s="148">
        <f>IF(N212="základní",J212,0)</f>
        <v>0</v>
      </c>
      <c r="BF212" s="148">
        <f>IF(N212="snížená",J212,0)</f>
        <v>0</v>
      </c>
      <c r="BG212" s="148">
        <f>IF(N212="zákl. přenesená",J212,0)</f>
        <v>0</v>
      </c>
      <c r="BH212" s="148">
        <f>IF(N212="sníž. přenesená",J212,0)</f>
        <v>0</v>
      </c>
      <c r="BI212" s="148">
        <f>IF(N212="nulová",J212,0)</f>
        <v>0</v>
      </c>
      <c r="BJ212" s="19" t="s">
        <v>80</v>
      </c>
      <c r="BK212" s="148">
        <f>ROUND(I212*H212,2)</f>
        <v>0</v>
      </c>
      <c r="BL212" s="19" t="s">
        <v>200</v>
      </c>
      <c r="BM212" s="147" t="s">
        <v>634</v>
      </c>
    </row>
    <row r="213" spans="1:65" s="2" customFormat="1" ht="107.25">
      <c r="A213" s="31"/>
      <c r="B213" s="32"/>
      <c r="C213" s="31"/>
      <c r="D213" s="150" t="s">
        <v>149</v>
      </c>
      <c r="E213" s="31"/>
      <c r="F213" s="163" t="s">
        <v>635</v>
      </c>
      <c r="G213" s="31"/>
      <c r="H213" s="31"/>
      <c r="I213" s="31"/>
      <c r="J213" s="31"/>
      <c r="K213" s="31"/>
      <c r="L213" s="32"/>
      <c r="M213" s="164"/>
      <c r="N213" s="165"/>
      <c r="O213" s="52"/>
      <c r="P213" s="52"/>
      <c r="Q213" s="52"/>
      <c r="R213" s="52"/>
      <c r="S213" s="52"/>
      <c r="T213" s="53"/>
      <c r="U213" s="31"/>
      <c r="V213" s="31"/>
      <c r="W213" s="31"/>
      <c r="X213" s="31"/>
      <c r="Y213" s="31"/>
      <c r="Z213" s="31"/>
      <c r="AA213" s="31"/>
      <c r="AB213" s="31"/>
      <c r="AC213" s="31"/>
      <c r="AD213" s="31"/>
      <c r="AE213" s="31"/>
      <c r="AT213" s="19" t="s">
        <v>149</v>
      </c>
      <c r="AU213" s="19" t="s">
        <v>82</v>
      </c>
    </row>
    <row r="214" spans="1:65" s="13" customFormat="1">
      <c r="B214" s="149"/>
      <c r="D214" s="150" t="s">
        <v>145</v>
      </c>
      <c r="E214" s="151" t="s">
        <v>3</v>
      </c>
      <c r="F214" s="152" t="s">
        <v>198</v>
      </c>
      <c r="H214" s="151" t="s">
        <v>3</v>
      </c>
      <c r="L214" s="149"/>
      <c r="M214" s="153"/>
      <c r="N214" s="154"/>
      <c r="O214" s="154"/>
      <c r="P214" s="154"/>
      <c r="Q214" s="154"/>
      <c r="R214" s="154"/>
      <c r="S214" s="154"/>
      <c r="T214" s="155"/>
      <c r="AT214" s="151" t="s">
        <v>145</v>
      </c>
      <c r="AU214" s="151" t="s">
        <v>82</v>
      </c>
      <c r="AV214" s="13" t="s">
        <v>80</v>
      </c>
      <c r="AW214" s="13" t="s">
        <v>34</v>
      </c>
      <c r="AX214" s="13" t="s">
        <v>72</v>
      </c>
      <c r="AY214" s="151" t="s">
        <v>138</v>
      </c>
    </row>
    <row r="215" spans="1:65" s="14" customFormat="1">
      <c r="B215" s="156"/>
      <c r="D215" s="150" t="s">
        <v>145</v>
      </c>
      <c r="E215" s="157" t="s">
        <v>3</v>
      </c>
      <c r="F215" s="158" t="s">
        <v>1366</v>
      </c>
      <c r="H215" s="159">
        <f>H190+H193+H196</f>
        <v>33.72</v>
      </c>
      <c r="L215" s="156"/>
      <c r="M215" s="160"/>
      <c r="N215" s="161"/>
      <c r="O215" s="161"/>
      <c r="P215" s="161"/>
      <c r="Q215" s="161"/>
      <c r="R215" s="161"/>
      <c r="S215" s="161"/>
      <c r="T215" s="162"/>
      <c r="AT215" s="157" t="s">
        <v>145</v>
      </c>
      <c r="AU215" s="157" t="s">
        <v>82</v>
      </c>
      <c r="AV215" s="14" t="s">
        <v>82</v>
      </c>
      <c r="AW215" s="14" t="s">
        <v>34</v>
      </c>
      <c r="AX215" s="14" t="s">
        <v>80</v>
      </c>
      <c r="AY215" s="157" t="s">
        <v>138</v>
      </c>
    </row>
    <row r="216" spans="1:65" s="2" customFormat="1" ht="24.2" customHeight="1">
      <c r="A216" s="31"/>
      <c r="B216" s="136"/>
      <c r="C216" s="137">
        <v>35</v>
      </c>
      <c r="D216" s="137" t="s">
        <v>141</v>
      </c>
      <c r="E216" s="138" t="s">
        <v>636</v>
      </c>
      <c r="F216" s="139" t="s">
        <v>637</v>
      </c>
      <c r="G216" s="140" t="s">
        <v>187</v>
      </c>
      <c r="H216" s="141">
        <f>H212</f>
        <v>33.72</v>
      </c>
      <c r="I216" s="142"/>
      <c r="J216" s="142">
        <f>ROUND(I216*H216,2)</f>
        <v>0</v>
      </c>
      <c r="K216" s="139" t="s">
        <v>148</v>
      </c>
      <c r="L216" s="32"/>
      <c r="M216" s="143" t="s">
        <v>3</v>
      </c>
      <c r="N216" s="144" t="s">
        <v>43</v>
      </c>
      <c r="O216" s="145">
        <v>8.2000000000000003E-2</v>
      </c>
      <c r="P216" s="145">
        <f>O216*H216</f>
        <v>2.7650399999999999</v>
      </c>
      <c r="Q216" s="145">
        <v>1.0000000000000001E-5</v>
      </c>
      <c r="R216" s="145">
        <f>Q216*H216</f>
        <v>3.3720000000000001E-4</v>
      </c>
      <c r="S216" s="145">
        <v>0</v>
      </c>
      <c r="T216" s="146">
        <f>S216*H216</f>
        <v>0</v>
      </c>
      <c r="U216" s="31"/>
      <c r="V216" s="31"/>
      <c r="W216" s="31"/>
      <c r="X216" s="31"/>
      <c r="Y216" s="31"/>
      <c r="Z216" s="31"/>
      <c r="AA216" s="31"/>
      <c r="AB216" s="31"/>
      <c r="AC216" s="31"/>
      <c r="AD216" s="31"/>
      <c r="AE216" s="31"/>
      <c r="AR216" s="147" t="s">
        <v>200</v>
      </c>
      <c r="AT216" s="147" t="s">
        <v>141</v>
      </c>
      <c r="AU216" s="147" t="s">
        <v>82</v>
      </c>
      <c r="AY216" s="19" t="s">
        <v>138</v>
      </c>
      <c r="BE216" s="148">
        <f>IF(N216="základní",J216,0)</f>
        <v>0</v>
      </c>
      <c r="BF216" s="148">
        <f>IF(N216="snížená",J216,0)</f>
        <v>0</v>
      </c>
      <c r="BG216" s="148">
        <f>IF(N216="zákl. přenesená",J216,0)</f>
        <v>0</v>
      </c>
      <c r="BH216" s="148">
        <f>IF(N216="sníž. přenesená",J216,0)</f>
        <v>0</v>
      </c>
      <c r="BI216" s="148">
        <f>IF(N216="nulová",J216,0)</f>
        <v>0</v>
      </c>
      <c r="BJ216" s="19" t="s">
        <v>80</v>
      </c>
      <c r="BK216" s="148">
        <f>ROUND(I216*H216,2)</f>
        <v>0</v>
      </c>
      <c r="BL216" s="19" t="s">
        <v>200</v>
      </c>
      <c r="BM216" s="147" t="s">
        <v>638</v>
      </c>
    </row>
    <row r="217" spans="1:65" s="2" customFormat="1" ht="107.25">
      <c r="A217" s="31"/>
      <c r="B217" s="32"/>
      <c r="C217" s="31"/>
      <c r="D217" s="150" t="s">
        <v>149</v>
      </c>
      <c r="E217" s="31"/>
      <c r="F217" s="163" t="s">
        <v>635</v>
      </c>
      <c r="G217" s="31"/>
      <c r="H217" s="31"/>
      <c r="I217" s="31"/>
      <c r="J217" s="31"/>
      <c r="K217" s="31"/>
      <c r="L217" s="32"/>
      <c r="M217" s="164"/>
      <c r="N217" s="165"/>
      <c r="O217" s="52"/>
      <c r="P217" s="52"/>
      <c r="Q217" s="52"/>
      <c r="R217" s="52"/>
      <c r="S217" s="52"/>
      <c r="T217" s="53"/>
      <c r="U217" s="31"/>
      <c r="V217" s="31"/>
      <c r="W217" s="31"/>
      <c r="X217" s="31"/>
      <c r="Y217" s="31"/>
      <c r="Z217" s="31"/>
      <c r="AA217" s="31"/>
      <c r="AB217" s="31"/>
      <c r="AC217" s="31"/>
      <c r="AD217" s="31"/>
      <c r="AE217" s="31"/>
      <c r="AT217" s="19" t="s">
        <v>149</v>
      </c>
      <c r="AU217" s="19" t="s">
        <v>82</v>
      </c>
    </row>
    <row r="218" spans="1:65" s="2" customFormat="1" ht="37.9" customHeight="1">
      <c r="A218" s="31"/>
      <c r="B218" s="136"/>
      <c r="C218" s="137">
        <v>36</v>
      </c>
      <c r="D218" s="137" t="s">
        <v>141</v>
      </c>
      <c r="E218" s="138" t="s">
        <v>639</v>
      </c>
      <c r="F218" s="139" t="s">
        <v>640</v>
      </c>
      <c r="G218" s="140" t="s">
        <v>308</v>
      </c>
      <c r="H218" s="141">
        <f>SUM(J190:J217)/100</f>
        <v>0</v>
      </c>
      <c r="I218" s="142"/>
      <c r="J218" s="142">
        <f>ROUND(I218*H218,2)</f>
        <v>0</v>
      </c>
      <c r="K218" s="139" t="s">
        <v>148</v>
      </c>
      <c r="L218" s="32"/>
      <c r="M218" s="143" t="s">
        <v>3</v>
      </c>
      <c r="N218" s="144" t="s">
        <v>43</v>
      </c>
      <c r="O218" s="145">
        <v>0</v>
      </c>
      <c r="P218" s="145">
        <f>O218*H218</f>
        <v>0</v>
      </c>
      <c r="Q218" s="145">
        <v>0</v>
      </c>
      <c r="R218" s="145">
        <f>Q218*H218</f>
        <v>0</v>
      </c>
      <c r="S218" s="145">
        <v>0</v>
      </c>
      <c r="T218" s="146">
        <f>S218*H218</f>
        <v>0</v>
      </c>
      <c r="U218" s="31"/>
      <c r="V218" s="31"/>
      <c r="W218" s="31"/>
      <c r="X218" s="31"/>
      <c r="Y218" s="31"/>
      <c r="Z218" s="31"/>
      <c r="AA218" s="31"/>
      <c r="AB218" s="31"/>
      <c r="AC218" s="31"/>
      <c r="AD218" s="31"/>
      <c r="AE218" s="31"/>
      <c r="AR218" s="147" t="s">
        <v>200</v>
      </c>
      <c r="AT218" s="147" t="s">
        <v>141</v>
      </c>
      <c r="AU218" s="147" t="s">
        <v>82</v>
      </c>
      <c r="AY218" s="19" t="s">
        <v>138</v>
      </c>
      <c r="BE218" s="148">
        <f>IF(N218="základní",J218,0)</f>
        <v>0</v>
      </c>
      <c r="BF218" s="148">
        <f>IF(N218="snížená",J218,0)</f>
        <v>0</v>
      </c>
      <c r="BG218" s="148">
        <f>IF(N218="zákl. přenesená",J218,0)</f>
        <v>0</v>
      </c>
      <c r="BH218" s="148">
        <f>IF(N218="sníž. přenesená",J218,0)</f>
        <v>0</v>
      </c>
      <c r="BI218" s="148">
        <f>IF(N218="nulová",J218,0)</f>
        <v>0</v>
      </c>
      <c r="BJ218" s="19" t="s">
        <v>80</v>
      </c>
      <c r="BK218" s="148">
        <f>ROUND(I218*H218,2)</f>
        <v>0</v>
      </c>
      <c r="BL218" s="19" t="s">
        <v>200</v>
      </c>
      <c r="BM218" s="147" t="s">
        <v>641</v>
      </c>
    </row>
    <row r="219" spans="1:65" s="2" customFormat="1" ht="126.75">
      <c r="A219" s="31"/>
      <c r="B219" s="32"/>
      <c r="C219" s="31"/>
      <c r="D219" s="150" t="s">
        <v>149</v>
      </c>
      <c r="E219" s="31"/>
      <c r="F219" s="163" t="s">
        <v>642</v>
      </c>
      <c r="G219" s="31"/>
      <c r="H219" s="31"/>
      <c r="I219" s="31"/>
      <c r="J219" s="31"/>
      <c r="K219" s="31"/>
      <c r="L219" s="32"/>
      <c r="M219" s="164"/>
      <c r="N219" s="165"/>
      <c r="O219" s="52"/>
      <c r="P219" s="52"/>
      <c r="Q219" s="52"/>
      <c r="R219" s="52"/>
      <c r="S219" s="52"/>
      <c r="T219" s="53"/>
      <c r="U219" s="31"/>
      <c r="V219" s="31"/>
      <c r="W219" s="31"/>
      <c r="X219" s="31"/>
      <c r="Y219" s="31"/>
      <c r="Z219" s="31"/>
      <c r="AA219" s="31"/>
      <c r="AB219" s="31"/>
      <c r="AC219" s="31"/>
      <c r="AD219" s="31"/>
      <c r="AE219" s="31"/>
      <c r="AT219" s="19" t="s">
        <v>149</v>
      </c>
      <c r="AU219" s="19" t="s">
        <v>82</v>
      </c>
    </row>
    <row r="220" spans="1:65" s="2" customFormat="1" ht="49.15" customHeight="1">
      <c r="A220" s="31"/>
      <c r="B220" s="136"/>
      <c r="C220" s="137">
        <v>37</v>
      </c>
      <c r="D220" s="137" t="s">
        <v>141</v>
      </c>
      <c r="E220" s="138" t="s">
        <v>643</v>
      </c>
      <c r="F220" s="139" t="s">
        <v>644</v>
      </c>
      <c r="G220" s="140" t="s">
        <v>308</v>
      </c>
      <c r="H220" s="141">
        <f>H218</f>
        <v>0</v>
      </c>
      <c r="I220" s="142"/>
      <c r="J220" s="142">
        <f>ROUND(I220*H220,2)</f>
        <v>0</v>
      </c>
      <c r="K220" s="139" t="s">
        <v>148</v>
      </c>
      <c r="L220" s="32"/>
      <c r="M220" s="143" t="s">
        <v>3</v>
      </c>
      <c r="N220" s="144" t="s">
        <v>43</v>
      </c>
      <c r="O220" s="145">
        <v>0</v>
      </c>
      <c r="P220" s="145">
        <f>O220*H220</f>
        <v>0</v>
      </c>
      <c r="Q220" s="145">
        <v>0</v>
      </c>
      <c r="R220" s="145">
        <f>Q220*H220</f>
        <v>0</v>
      </c>
      <c r="S220" s="145">
        <v>0</v>
      </c>
      <c r="T220" s="146">
        <f>S220*H220</f>
        <v>0</v>
      </c>
      <c r="U220" s="31"/>
      <c r="V220" s="31"/>
      <c r="W220" s="31"/>
      <c r="X220" s="31"/>
      <c r="Y220" s="31"/>
      <c r="Z220" s="31"/>
      <c r="AA220" s="31"/>
      <c r="AB220" s="31"/>
      <c r="AC220" s="31"/>
      <c r="AD220" s="31"/>
      <c r="AE220" s="31"/>
      <c r="AR220" s="147" t="s">
        <v>200</v>
      </c>
      <c r="AT220" s="147" t="s">
        <v>141</v>
      </c>
      <c r="AU220" s="147" t="s">
        <v>82</v>
      </c>
      <c r="AY220" s="19" t="s">
        <v>138</v>
      </c>
      <c r="BE220" s="148">
        <f>IF(N220="základní",J220,0)</f>
        <v>0</v>
      </c>
      <c r="BF220" s="148">
        <f>IF(N220="snížená",J220,0)</f>
        <v>0</v>
      </c>
      <c r="BG220" s="148">
        <f>IF(N220="zákl. přenesená",J220,0)</f>
        <v>0</v>
      </c>
      <c r="BH220" s="148">
        <f>IF(N220="sníž. přenesená",J220,0)</f>
        <v>0</v>
      </c>
      <c r="BI220" s="148">
        <f>IF(N220="nulová",J220,0)</f>
        <v>0</v>
      </c>
      <c r="BJ220" s="19" t="s">
        <v>80</v>
      </c>
      <c r="BK220" s="148">
        <f>ROUND(I220*H220,2)</f>
        <v>0</v>
      </c>
      <c r="BL220" s="19" t="s">
        <v>200</v>
      </c>
      <c r="BM220" s="147" t="s">
        <v>645</v>
      </c>
    </row>
    <row r="221" spans="1:65" s="2" customFormat="1" ht="126.75">
      <c r="A221" s="31"/>
      <c r="B221" s="32"/>
      <c r="C221" s="31"/>
      <c r="D221" s="150" t="s">
        <v>149</v>
      </c>
      <c r="E221" s="31"/>
      <c r="F221" s="163" t="s">
        <v>642</v>
      </c>
      <c r="G221" s="31"/>
      <c r="H221" s="31"/>
      <c r="I221" s="31"/>
      <c r="J221" s="31"/>
      <c r="K221" s="31"/>
      <c r="L221" s="32"/>
      <c r="M221" s="164"/>
      <c r="N221" s="165"/>
      <c r="O221" s="52"/>
      <c r="P221" s="52"/>
      <c r="Q221" s="52"/>
      <c r="R221" s="52"/>
      <c r="S221" s="52"/>
      <c r="T221" s="53"/>
      <c r="U221" s="31"/>
      <c r="V221" s="31"/>
      <c r="W221" s="31"/>
      <c r="X221" s="31"/>
      <c r="Y221" s="31"/>
      <c r="Z221" s="31"/>
      <c r="AA221" s="31"/>
      <c r="AB221" s="31"/>
      <c r="AC221" s="31"/>
      <c r="AD221" s="31"/>
      <c r="AE221" s="31"/>
      <c r="AT221" s="19" t="s">
        <v>149</v>
      </c>
      <c r="AU221" s="19" t="s">
        <v>82</v>
      </c>
    </row>
    <row r="222" spans="1:65" s="12" customFormat="1" ht="22.9" customHeight="1">
      <c r="B222" s="124"/>
      <c r="D222" s="125" t="s">
        <v>71</v>
      </c>
      <c r="E222" s="134" t="s">
        <v>646</v>
      </c>
      <c r="F222" s="134" t="s">
        <v>647</v>
      </c>
      <c r="J222" s="135">
        <f>BK222</f>
        <v>0</v>
      </c>
      <c r="L222" s="124"/>
      <c r="M222" s="128"/>
      <c r="N222" s="129"/>
      <c r="O222" s="129"/>
      <c r="P222" s="130">
        <f>SUM(P223:P300)</f>
        <v>33.970318999999996</v>
      </c>
      <c r="Q222" s="129"/>
      <c r="R222" s="130">
        <f>SUM(R223:R300)</f>
        <v>3.8249999999999999E-2</v>
      </c>
      <c r="S222" s="129"/>
      <c r="T222" s="131">
        <f>SUM(T223:T300)</f>
        <v>0.31386999999999998</v>
      </c>
      <c r="AR222" s="125" t="s">
        <v>82</v>
      </c>
      <c r="AT222" s="132" t="s">
        <v>71</v>
      </c>
      <c r="AU222" s="132" t="s">
        <v>80</v>
      </c>
      <c r="AY222" s="125" t="s">
        <v>138</v>
      </c>
      <c r="BK222" s="133">
        <f>SUM(BK223:BK300)</f>
        <v>0</v>
      </c>
    </row>
    <row r="223" spans="1:65" s="2" customFormat="1" ht="24.2" customHeight="1">
      <c r="A223" s="31"/>
      <c r="B223" s="136"/>
      <c r="C223" s="137">
        <v>38</v>
      </c>
      <c r="D223" s="137" t="s">
        <v>141</v>
      </c>
      <c r="E223" s="138" t="s">
        <v>648</v>
      </c>
      <c r="F223" s="139" t="s">
        <v>649</v>
      </c>
      <c r="G223" s="140" t="s">
        <v>578</v>
      </c>
      <c r="H223" s="141">
        <f>H225</f>
        <v>7</v>
      </c>
      <c r="I223" s="142"/>
      <c r="J223" s="142">
        <f>ROUND(I223*H223,2)</f>
        <v>0</v>
      </c>
      <c r="K223" s="139" t="s">
        <v>148</v>
      </c>
      <c r="L223" s="32"/>
      <c r="M223" s="143" t="s">
        <v>3</v>
      </c>
      <c r="N223" s="144" t="s">
        <v>43</v>
      </c>
      <c r="O223" s="145">
        <v>0.54800000000000004</v>
      </c>
      <c r="P223" s="145">
        <f>O223*H223</f>
        <v>3.8360000000000003</v>
      </c>
      <c r="Q223" s="145">
        <v>0</v>
      </c>
      <c r="R223" s="145">
        <f>Q223*H223</f>
        <v>0</v>
      </c>
      <c r="S223" s="145">
        <v>1.933E-2</v>
      </c>
      <c r="T223" s="146">
        <f>S223*H223</f>
        <v>0.13530999999999999</v>
      </c>
      <c r="U223" s="31"/>
      <c r="V223" s="31"/>
      <c r="W223" s="31"/>
      <c r="X223" s="31"/>
      <c r="Y223" s="31"/>
      <c r="Z223" s="31"/>
      <c r="AA223" s="31"/>
      <c r="AB223" s="31"/>
      <c r="AC223" s="31"/>
      <c r="AD223" s="31"/>
      <c r="AE223" s="31"/>
      <c r="AR223" s="147" t="s">
        <v>200</v>
      </c>
      <c r="AT223" s="147" t="s">
        <v>141</v>
      </c>
      <c r="AU223" s="147" t="s">
        <v>82</v>
      </c>
      <c r="AY223" s="19" t="s">
        <v>138</v>
      </c>
      <c r="BE223" s="148">
        <f>IF(N223="základní",J223,0)</f>
        <v>0</v>
      </c>
      <c r="BF223" s="148">
        <f>IF(N223="snížená",J223,0)</f>
        <v>0</v>
      </c>
      <c r="BG223" s="148">
        <f>IF(N223="zákl. přenesená",J223,0)</f>
        <v>0</v>
      </c>
      <c r="BH223" s="148">
        <f>IF(N223="sníž. přenesená",J223,0)</f>
        <v>0</v>
      </c>
      <c r="BI223" s="148">
        <f>IF(N223="nulová",J223,0)</f>
        <v>0</v>
      </c>
      <c r="BJ223" s="19" t="s">
        <v>80</v>
      </c>
      <c r="BK223" s="148">
        <f>ROUND(I223*H223,2)</f>
        <v>0</v>
      </c>
      <c r="BL223" s="19" t="s">
        <v>200</v>
      </c>
      <c r="BM223" s="147" t="s">
        <v>650</v>
      </c>
    </row>
    <row r="224" spans="1:65" s="13" customFormat="1" ht="22.5">
      <c r="B224" s="149"/>
      <c r="D224" s="150" t="s">
        <v>145</v>
      </c>
      <c r="E224" s="151" t="s">
        <v>3</v>
      </c>
      <c r="F224" s="152" t="s">
        <v>211</v>
      </c>
      <c r="H224" s="151" t="s">
        <v>3</v>
      </c>
      <c r="L224" s="149"/>
      <c r="M224" s="153"/>
      <c r="N224" s="154"/>
      <c r="O224" s="154"/>
      <c r="P224" s="154"/>
      <c r="Q224" s="154"/>
      <c r="R224" s="154"/>
      <c r="S224" s="154"/>
      <c r="T224" s="155"/>
      <c r="AT224" s="151" t="s">
        <v>145</v>
      </c>
      <c r="AU224" s="151" t="s">
        <v>82</v>
      </c>
      <c r="AV224" s="13" t="s">
        <v>80</v>
      </c>
      <c r="AW224" s="13" t="s">
        <v>34</v>
      </c>
      <c r="AX224" s="13" t="s">
        <v>72</v>
      </c>
      <c r="AY224" s="151" t="s">
        <v>138</v>
      </c>
    </row>
    <row r="225" spans="1:65" s="14" customFormat="1">
      <c r="B225" s="156"/>
      <c r="D225" s="150" t="s">
        <v>145</v>
      </c>
      <c r="E225" s="157" t="s">
        <v>3</v>
      </c>
      <c r="F225" s="158" t="s">
        <v>1283</v>
      </c>
      <c r="H225" s="159">
        <v>7</v>
      </c>
      <c r="L225" s="156"/>
      <c r="M225" s="160"/>
      <c r="N225" s="161"/>
      <c r="O225" s="161"/>
      <c r="P225" s="161"/>
      <c r="Q225" s="161"/>
      <c r="R225" s="161"/>
      <c r="S225" s="161"/>
      <c r="T225" s="162"/>
      <c r="AT225" s="157" t="s">
        <v>145</v>
      </c>
      <c r="AU225" s="157" t="s">
        <v>82</v>
      </c>
      <c r="AV225" s="14" t="s">
        <v>82</v>
      </c>
      <c r="AW225" s="14" t="s">
        <v>34</v>
      </c>
      <c r="AX225" s="14" t="s">
        <v>80</v>
      </c>
      <c r="AY225" s="157" t="s">
        <v>138</v>
      </c>
    </row>
    <row r="226" spans="1:65" s="2" customFormat="1" ht="14.45" customHeight="1">
      <c r="A226" s="31"/>
      <c r="B226" s="136"/>
      <c r="C226" s="137">
        <v>39</v>
      </c>
      <c r="D226" s="137" t="s">
        <v>141</v>
      </c>
      <c r="E226" s="138" t="s">
        <v>651</v>
      </c>
      <c r="F226" s="139" t="s">
        <v>652</v>
      </c>
      <c r="G226" s="140" t="s">
        <v>578</v>
      </c>
      <c r="H226" s="141">
        <f>H228</f>
        <v>7</v>
      </c>
      <c r="I226" s="142"/>
      <c r="J226" s="142">
        <f>ROUND(I226*H226,2)</f>
        <v>0</v>
      </c>
      <c r="K226" s="139" t="s">
        <v>148</v>
      </c>
      <c r="L226" s="32"/>
      <c r="M226" s="143" t="s">
        <v>3</v>
      </c>
      <c r="N226" s="144" t="s">
        <v>43</v>
      </c>
      <c r="O226" s="145">
        <v>0.36199999999999999</v>
      </c>
      <c r="P226" s="145">
        <f>O226*H226</f>
        <v>2.5339999999999998</v>
      </c>
      <c r="Q226" s="145">
        <v>0</v>
      </c>
      <c r="R226" s="145">
        <f>Q226*H226</f>
        <v>0</v>
      </c>
      <c r="S226" s="145">
        <v>1.9460000000000002E-2</v>
      </c>
      <c r="T226" s="146">
        <f>S226*H226</f>
        <v>0.13622000000000001</v>
      </c>
      <c r="U226" s="31"/>
      <c r="V226" s="31"/>
      <c r="W226" s="31"/>
      <c r="X226" s="31"/>
      <c r="Y226" s="31"/>
      <c r="Z226" s="31"/>
      <c r="AA226" s="31"/>
      <c r="AB226" s="31"/>
      <c r="AC226" s="31"/>
      <c r="AD226" s="31"/>
      <c r="AE226" s="31"/>
      <c r="AR226" s="147" t="s">
        <v>200</v>
      </c>
      <c r="AT226" s="147" t="s">
        <v>141</v>
      </c>
      <c r="AU226" s="147" t="s">
        <v>82</v>
      </c>
      <c r="AY226" s="19" t="s">
        <v>138</v>
      </c>
      <c r="BE226" s="148">
        <f>IF(N226="základní",J226,0)</f>
        <v>0</v>
      </c>
      <c r="BF226" s="148">
        <f>IF(N226="snížená",J226,0)</f>
        <v>0</v>
      </c>
      <c r="BG226" s="148">
        <f>IF(N226="zákl. přenesená",J226,0)</f>
        <v>0</v>
      </c>
      <c r="BH226" s="148">
        <f>IF(N226="sníž. přenesená",J226,0)</f>
        <v>0</v>
      </c>
      <c r="BI226" s="148">
        <f>IF(N226="nulová",J226,0)</f>
        <v>0</v>
      </c>
      <c r="BJ226" s="19" t="s">
        <v>80</v>
      </c>
      <c r="BK226" s="148">
        <f>ROUND(I226*H226,2)</f>
        <v>0</v>
      </c>
      <c r="BL226" s="19" t="s">
        <v>200</v>
      </c>
      <c r="BM226" s="147" t="s">
        <v>653</v>
      </c>
    </row>
    <row r="227" spans="1:65" s="13" customFormat="1" ht="22.5">
      <c r="B227" s="149"/>
      <c r="D227" s="150" t="s">
        <v>145</v>
      </c>
      <c r="E227" s="151" t="s">
        <v>3</v>
      </c>
      <c r="F227" s="152" t="s">
        <v>211</v>
      </c>
      <c r="H227" s="151" t="s">
        <v>3</v>
      </c>
      <c r="L227" s="149"/>
      <c r="M227" s="153"/>
      <c r="N227" s="154"/>
      <c r="O227" s="154"/>
      <c r="P227" s="154"/>
      <c r="Q227" s="154"/>
      <c r="R227" s="154"/>
      <c r="S227" s="154"/>
      <c r="T227" s="155"/>
      <c r="AT227" s="151" t="s">
        <v>145</v>
      </c>
      <c r="AU227" s="151" t="s">
        <v>82</v>
      </c>
      <c r="AV227" s="13" t="s">
        <v>80</v>
      </c>
      <c r="AW227" s="13" t="s">
        <v>34</v>
      </c>
      <c r="AX227" s="13" t="s">
        <v>72</v>
      </c>
      <c r="AY227" s="151" t="s">
        <v>138</v>
      </c>
    </row>
    <row r="228" spans="1:65" s="14" customFormat="1">
      <c r="B228" s="156"/>
      <c r="D228" s="150" t="s">
        <v>145</v>
      </c>
      <c r="E228" s="157" t="s">
        <v>3</v>
      </c>
      <c r="F228" s="158" t="s">
        <v>1283</v>
      </c>
      <c r="H228" s="159">
        <v>7</v>
      </c>
      <c r="L228" s="156"/>
      <c r="M228" s="160"/>
      <c r="N228" s="161"/>
      <c r="O228" s="161"/>
      <c r="P228" s="161"/>
      <c r="Q228" s="161"/>
      <c r="R228" s="161"/>
      <c r="S228" s="161"/>
      <c r="T228" s="162"/>
      <c r="AT228" s="157" t="s">
        <v>145</v>
      </c>
      <c r="AU228" s="157" t="s">
        <v>82</v>
      </c>
      <c r="AV228" s="14" t="s">
        <v>82</v>
      </c>
      <c r="AW228" s="14" t="s">
        <v>34</v>
      </c>
      <c r="AX228" s="14" t="s">
        <v>80</v>
      </c>
      <c r="AY228" s="157" t="s">
        <v>138</v>
      </c>
    </row>
    <row r="229" spans="1:65" s="2" customFormat="1" ht="24.2" customHeight="1">
      <c r="A229" s="31"/>
      <c r="B229" s="136"/>
      <c r="C229" s="137">
        <v>40</v>
      </c>
      <c r="D229" s="137" t="s">
        <v>141</v>
      </c>
      <c r="E229" s="138" t="s">
        <v>654</v>
      </c>
      <c r="F229" s="139" t="s">
        <v>655</v>
      </c>
      <c r="G229" s="140" t="s">
        <v>578</v>
      </c>
      <c r="H229" s="141">
        <f>H231</f>
        <v>2</v>
      </c>
      <c r="I229" s="142"/>
      <c r="J229" s="142">
        <f>ROUND(I229*H229,2)</f>
        <v>0</v>
      </c>
      <c r="K229" s="139" t="s">
        <v>148</v>
      </c>
      <c r="L229" s="32"/>
      <c r="M229" s="143" t="s">
        <v>3</v>
      </c>
      <c r="N229" s="144" t="s">
        <v>43</v>
      </c>
      <c r="O229" s="145">
        <v>0.46500000000000002</v>
      </c>
      <c r="P229" s="145">
        <f>O229*H229</f>
        <v>0.93</v>
      </c>
      <c r="Q229" s="145">
        <v>0</v>
      </c>
      <c r="R229" s="145">
        <f>Q229*H229</f>
        <v>0</v>
      </c>
      <c r="S229" s="145">
        <v>9.1999999999999998E-3</v>
      </c>
      <c r="T229" s="146">
        <f>S229*H229</f>
        <v>1.84E-2</v>
      </c>
      <c r="U229" s="31"/>
      <c r="V229" s="31"/>
      <c r="W229" s="31"/>
      <c r="X229" s="31"/>
      <c r="Y229" s="31"/>
      <c r="Z229" s="31"/>
      <c r="AA229" s="31"/>
      <c r="AB229" s="31"/>
      <c r="AC229" s="31"/>
      <c r="AD229" s="31"/>
      <c r="AE229" s="31"/>
      <c r="AR229" s="147" t="s">
        <v>200</v>
      </c>
      <c r="AT229" s="147" t="s">
        <v>141</v>
      </c>
      <c r="AU229" s="147" t="s">
        <v>82</v>
      </c>
      <c r="AY229" s="19" t="s">
        <v>138</v>
      </c>
      <c r="BE229" s="148">
        <f>IF(N229="základní",J229,0)</f>
        <v>0</v>
      </c>
      <c r="BF229" s="148">
        <f>IF(N229="snížená",J229,0)</f>
        <v>0</v>
      </c>
      <c r="BG229" s="148">
        <f>IF(N229="zákl. přenesená",J229,0)</f>
        <v>0</v>
      </c>
      <c r="BH229" s="148">
        <f>IF(N229="sníž. přenesená",J229,0)</f>
        <v>0</v>
      </c>
      <c r="BI229" s="148">
        <f>IF(N229="nulová",J229,0)</f>
        <v>0</v>
      </c>
      <c r="BJ229" s="19" t="s">
        <v>80</v>
      </c>
      <c r="BK229" s="148">
        <f>ROUND(I229*H229,2)</f>
        <v>0</v>
      </c>
      <c r="BL229" s="19" t="s">
        <v>200</v>
      </c>
      <c r="BM229" s="147" t="s">
        <v>656</v>
      </c>
    </row>
    <row r="230" spans="1:65" s="13" customFormat="1" ht="22.5">
      <c r="B230" s="149"/>
      <c r="D230" s="150" t="s">
        <v>145</v>
      </c>
      <c r="E230" s="151" t="s">
        <v>3</v>
      </c>
      <c r="F230" s="152" t="s">
        <v>211</v>
      </c>
      <c r="H230" s="151" t="s">
        <v>3</v>
      </c>
      <c r="L230" s="149"/>
      <c r="M230" s="153"/>
      <c r="N230" s="154"/>
      <c r="O230" s="154"/>
      <c r="P230" s="154"/>
      <c r="Q230" s="154"/>
      <c r="R230" s="154"/>
      <c r="S230" s="154"/>
      <c r="T230" s="155"/>
      <c r="AT230" s="151" t="s">
        <v>145</v>
      </c>
      <c r="AU230" s="151" t="s">
        <v>82</v>
      </c>
      <c r="AV230" s="13" t="s">
        <v>80</v>
      </c>
      <c r="AW230" s="13" t="s">
        <v>34</v>
      </c>
      <c r="AX230" s="13" t="s">
        <v>72</v>
      </c>
      <c r="AY230" s="151" t="s">
        <v>138</v>
      </c>
    </row>
    <row r="231" spans="1:65" s="14" customFormat="1">
      <c r="B231" s="156"/>
      <c r="D231" s="150" t="s">
        <v>145</v>
      </c>
      <c r="E231" s="157" t="s">
        <v>3</v>
      </c>
      <c r="F231" s="158" t="s">
        <v>1368</v>
      </c>
      <c r="H231" s="159">
        <v>2</v>
      </c>
      <c r="L231" s="156"/>
      <c r="M231" s="160"/>
      <c r="N231" s="161"/>
      <c r="O231" s="161"/>
      <c r="P231" s="161"/>
      <c r="Q231" s="161"/>
      <c r="R231" s="161"/>
      <c r="S231" s="161"/>
      <c r="T231" s="162"/>
      <c r="AT231" s="157" t="s">
        <v>145</v>
      </c>
      <c r="AU231" s="157" t="s">
        <v>82</v>
      </c>
      <c r="AV231" s="14" t="s">
        <v>82</v>
      </c>
      <c r="AW231" s="14" t="s">
        <v>34</v>
      </c>
      <c r="AX231" s="14" t="s">
        <v>80</v>
      </c>
      <c r="AY231" s="157" t="s">
        <v>138</v>
      </c>
    </row>
    <row r="232" spans="1:65" s="2" customFormat="1" ht="14.45" customHeight="1">
      <c r="A232" s="31"/>
      <c r="B232" s="136"/>
      <c r="C232" s="137">
        <v>41</v>
      </c>
      <c r="D232" s="137" t="s">
        <v>141</v>
      </c>
      <c r="E232" s="138" t="s">
        <v>657</v>
      </c>
      <c r="F232" s="139" t="s">
        <v>658</v>
      </c>
      <c r="G232" s="140" t="s">
        <v>578</v>
      </c>
      <c r="H232" s="141">
        <f>H234</f>
        <v>9</v>
      </c>
      <c r="I232" s="142"/>
      <c r="J232" s="142">
        <f>ROUND(I232*H232,2)</f>
        <v>0</v>
      </c>
      <c r="K232" s="139" t="s">
        <v>148</v>
      </c>
      <c r="L232" s="32"/>
      <c r="M232" s="143" t="s">
        <v>3</v>
      </c>
      <c r="N232" s="144" t="s">
        <v>43</v>
      </c>
      <c r="O232" s="145">
        <v>0.217</v>
      </c>
      <c r="P232" s="145">
        <f>O232*H232</f>
        <v>1.9530000000000001</v>
      </c>
      <c r="Q232" s="145">
        <v>0</v>
      </c>
      <c r="R232" s="145">
        <f>Q232*H232</f>
        <v>0</v>
      </c>
      <c r="S232" s="145">
        <v>1.56E-3</v>
      </c>
      <c r="T232" s="146">
        <f>S232*H232</f>
        <v>1.404E-2</v>
      </c>
      <c r="U232" s="31"/>
      <c r="V232" s="31"/>
      <c r="W232" s="31"/>
      <c r="X232" s="31"/>
      <c r="Y232" s="31"/>
      <c r="Z232" s="31"/>
      <c r="AA232" s="31"/>
      <c r="AB232" s="31"/>
      <c r="AC232" s="31"/>
      <c r="AD232" s="31"/>
      <c r="AE232" s="31"/>
      <c r="AR232" s="147" t="s">
        <v>200</v>
      </c>
      <c r="AT232" s="147" t="s">
        <v>141</v>
      </c>
      <c r="AU232" s="147" t="s">
        <v>82</v>
      </c>
      <c r="AY232" s="19" t="s">
        <v>138</v>
      </c>
      <c r="BE232" s="148">
        <f>IF(N232="základní",J232,0)</f>
        <v>0</v>
      </c>
      <c r="BF232" s="148">
        <f>IF(N232="snížená",J232,0)</f>
        <v>0</v>
      </c>
      <c r="BG232" s="148">
        <f>IF(N232="zákl. přenesená",J232,0)</f>
        <v>0</v>
      </c>
      <c r="BH232" s="148">
        <f>IF(N232="sníž. přenesená",J232,0)</f>
        <v>0</v>
      </c>
      <c r="BI232" s="148">
        <f>IF(N232="nulová",J232,0)</f>
        <v>0</v>
      </c>
      <c r="BJ232" s="19" t="s">
        <v>80</v>
      </c>
      <c r="BK232" s="148">
        <f>ROUND(I232*H232,2)</f>
        <v>0</v>
      </c>
      <c r="BL232" s="19" t="s">
        <v>200</v>
      </c>
      <c r="BM232" s="147" t="s">
        <v>659</v>
      </c>
    </row>
    <row r="233" spans="1:65" s="13" customFormat="1">
      <c r="B233" s="149"/>
      <c r="D233" s="150" t="s">
        <v>145</v>
      </c>
      <c r="E233" s="151" t="s">
        <v>3</v>
      </c>
      <c r="F233" s="152" t="s">
        <v>660</v>
      </c>
      <c r="H233" s="151" t="s">
        <v>3</v>
      </c>
      <c r="L233" s="149"/>
      <c r="M233" s="153"/>
      <c r="N233" s="154"/>
      <c r="O233" s="154"/>
      <c r="P233" s="154"/>
      <c r="Q233" s="154"/>
      <c r="R233" s="154"/>
      <c r="S233" s="154"/>
      <c r="T233" s="155"/>
      <c r="AT233" s="151" t="s">
        <v>145</v>
      </c>
      <c r="AU233" s="151" t="s">
        <v>82</v>
      </c>
      <c r="AV233" s="13" t="s">
        <v>80</v>
      </c>
      <c r="AW233" s="13" t="s">
        <v>34</v>
      </c>
      <c r="AX233" s="13" t="s">
        <v>72</v>
      </c>
      <c r="AY233" s="151" t="s">
        <v>138</v>
      </c>
    </row>
    <row r="234" spans="1:65" s="14" customFormat="1">
      <c r="B234" s="156"/>
      <c r="D234" s="150" t="s">
        <v>145</v>
      </c>
      <c r="E234" s="157" t="s">
        <v>3</v>
      </c>
      <c r="F234" s="158" t="s">
        <v>1369</v>
      </c>
      <c r="H234" s="159">
        <f>H226+H229</f>
        <v>9</v>
      </c>
      <c r="L234" s="156"/>
      <c r="M234" s="160"/>
      <c r="N234" s="161"/>
      <c r="O234" s="161"/>
      <c r="P234" s="161"/>
      <c r="Q234" s="161"/>
      <c r="R234" s="161"/>
      <c r="S234" s="161"/>
      <c r="T234" s="162"/>
      <c r="AT234" s="157" t="s">
        <v>145</v>
      </c>
      <c r="AU234" s="157" t="s">
        <v>82</v>
      </c>
      <c r="AV234" s="14" t="s">
        <v>82</v>
      </c>
      <c r="AW234" s="14" t="s">
        <v>34</v>
      </c>
      <c r="AX234" s="14" t="s">
        <v>80</v>
      </c>
      <c r="AY234" s="157" t="s">
        <v>138</v>
      </c>
    </row>
    <row r="235" spans="1:65" s="2" customFormat="1" ht="24.2" customHeight="1">
      <c r="A235" s="31"/>
      <c r="B235" s="136"/>
      <c r="C235" s="137">
        <v>42</v>
      </c>
      <c r="D235" s="137" t="s">
        <v>141</v>
      </c>
      <c r="E235" s="138" t="s">
        <v>661</v>
      </c>
      <c r="F235" s="139" t="s">
        <v>662</v>
      </c>
      <c r="G235" s="140" t="s">
        <v>147</v>
      </c>
      <c r="H235" s="141">
        <f>H237</f>
        <v>1</v>
      </c>
      <c r="I235" s="142"/>
      <c r="J235" s="142">
        <f>ROUND(I235*H235,2)</f>
        <v>0</v>
      </c>
      <c r="K235" s="139" t="s">
        <v>148</v>
      </c>
      <c r="L235" s="32"/>
      <c r="M235" s="143" t="s">
        <v>3</v>
      </c>
      <c r="N235" s="144" t="s">
        <v>43</v>
      </c>
      <c r="O235" s="145">
        <v>0.40699999999999997</v>
      </c>
      <c r="P235" s="145">
        <f>O235*H235</f>
        <v>0.40699999999999997</v>
      </c>
      <c r="Q235" s="145">
        <v>0</v>
      </c>
      <c r="R235" s="145">
        <f>Q235*H235</f>
        <v>0</v>
      </c>
      <c r="S235" s="145">
        <v>2.2499999999999998E-3</v>
      </c>
      <c r="T235" s="146">
        <f>S235*H235</f>
        <v>2.2499999999999998E-3</v>
      </c>
      <c r="U235" s="31"/>
      <c r="V235" s="31"/>
      <c r="W235" s="31"/>
      <c r="X235" s="31"/>
      <c r="Y235" s="31"/>
      <c r="Z235" s="31"/>
      <c r="AA235" s="31"/>
      <c r="AB235" s="31"/>
      <c r="AC235" s="31"/>
      <c r="AD235" s="31"/>
      <c r="AE235" s="31"/>
      <c r="AR235" s="147" t="s">
        <v>200</v>
      </c>
      <c r="AT235" s="147" t="s">
        <v>141</v>
      </c>
      <c r="AU235" s="147" t="s">
        <v>82</v>
      </c>
      <c r="AY235" s="19" t="s">
        <v>138</v>
      </c>
      <c r="BE235" s="148">
        <f>IF(N235="základní",J235,0)</f>
        <v>0</v>
      </c>
      <c r="BF235" s="148">
        <f>IF(N235="snížená",J235,0)</f>
        <v>0</v>
      </c>
      <c r="BG235" s="148">
        <f>IF(N235="zákl. přenesená",J235,0)</f>
        <v>0</v>
      </c>
      <c r="BH235" s="148">
        <f>IF(N235="sníž. přenesená",J235,0)</f>
        <v>0</v>
      </c>
      <c r="BI235" s="148">
        <f>IF(N235="nulová",J235,0)</f>
        <v>0</v>
      </c>
      <c r="BJ235" s="19" t="s">
        <v>80</v>
      </c>
      <c r="BK235" s="148">
        <f>ROUND(I235*H235,2)</f>
        <v>0</v>
      </c>
      <c r="BL235" s="19" t="s">
        <v>200</v>
      </c>
      <c r="BM235" s="147" t="s">
        <v>663</v>
      </c>
    </row>
    <row r="236" spans="1:65" s="13" customFormat="1" ht="22.5">
      <c r="B236" s="149"/>
      <c r="D236" s="150" t="s">
        <v>145</v>
      </c>
      <c r="E236" s="151" t="s">
        <v>3</v>
      </c>
      <c r="F236" s="152" t="s">
        <v>211</v>
      </c>
      <c r="H236" s="151" t="s">
        <v>3</v>
      </c>
      <c r="L236" s="149"/>
      <c r="M236" s="153"/>
      <c r="N236" s="154"/>
      <c r="O236" s="154"/>
      <c r="P236" s="154"/>
      <c r="Q236" s="154"/>
      <c r="R236" s="154"/>
      <c r="S236" s="154"/>
      <c r="T236" s="155"/>
      <c r="AT236" s="151" t="s">
        <v>145</v>
      </c>
      <c r="AU236" s="151" t="s">
        <v>82</v>
      </c>
      <c r="AV236" s="13" t="s">
        <v>80</v>
      </c>
      <c r="AW236" s="13" t="s">
        <v>34</v>
      </c>
      <c r="AX236" s="13" t="s">
        <v>72</v>
      </c>
      <c r="AY236" s="151" t="s">
        <v>138</v>
      </c>
    </row>
    <row r="237" spans="1:65" s="14" customFormat="1">
      <c r="B237" s="156"/>
      <c r="D237" s="150" t="s">
        <v>145</v>
      </c>
      <c r="E237" s="157" t="s">
        <v>3</v>
      </c>
      <c r="F237" s="158">
        <v>1</v>
      </c>
      <c r="H237" s="159">
        <f>F237</f>
        <v>1</v>
      </c>
      <c r="L237" s="156"/>
      <c r="M237" s="160"/>
      <c r="N237" s="161"/>
      <c r="O237" s="161"/>
      <c r="P237" s="161"/>
      <c r="Q237" s="161"/>
      <c r="R237" s="161"/>
      <c r="S237" s="161"/>
      <c r="T237" s="162"/>
      <c r="AT237" s="157" t="s">
        <v>145</v>
      </c>
      <c r="AU237" s="157" t="s">
        <v>82</v>
      </c>
      <c r="AV237" s="14" t="s">
        <v>82</v>
      </c>
      <c r="AW237" s="14" t="s">
        <v>34</v>
      </c>
      <c r="AX237" s="14" t="s">
        <v>80</v>
      </c>
      <c r="AY237" s="157" t="s">
        <v>138</v>
      </c>
    </row>
    <row r="238" spans="1:65" s="2" customFormat="1" ht="24.2" customHeight="1">
      <c r="A238" s="31"/>
      <c r="B238" s="136"/>
      <c r="C238" s="137">
        <v>43</v>
      </c>
      <c r="D238" s="137" t="s">
        <v>141</v>
      </c>
      <c r="E238" s="138" t="s">
        <v>664</v>
      </c>
      <c r="F238" s="139" t="s">
        <v>665</v>
      </c>
      <c r="G238" s="140" t="s">
        <v>147</v>
      </c>
      <c r="H238" s="141">
        <f>H232</f>
        <v>9</v>
      </c>
      <c r="I238" s="142"/>
      <c r="J238" s="142">
        <f>ROUND(I238*H238,2)</f>
        <v>0</v>
      </c>
      <c r="K238" s="139" t="s">
        <v>148</v>
      </c>
      <c r="L238" s="32"/>
      <c r="M238" s="143" t="s">
        <v>3</v>
      </c>
      <c r="N238" s="144" t="s">
        <v>43</v>
      </c>
      <c r="O238" s="145">
        <v>3.7999999999999999E-2</v>
      </c>
      <c r="P238" s="145">
        <f>O238*H238</f>
        <v>0.34199999999999997</v>
      </c>
      <c r="Q238" s="145">
        <v>0</v>
      </c>
      <c r="R238" s="145">
        <f>Q238*H238</f>
        <v>0</v>
      </c>
      <c r="S238" s="145">
        <v>8.4999999999999995E-4</v>
      </c>
      <c r="T238" s="146">
        <f>S238*H238</f>
        <v>7.6499999999999997E-3</v>
      </c>
      <c r="U238" s="31"/>
      <c r="V238" s="31"/>
      <c r="W238" s="31"/>
      <c r="X238" s="31"/>
      <c r="Y238" s="31"/>
      <c r="Z238" s="31"/>
      <c r="AA238" s="31"/>
      <c r="AB238" s="31"/>
      <c r="AC238" s="31"/>
      <c r="AD238" s="31"/>
      <c r="AE238" s="31"/>
      <c r="AR238" s="147" t="s">
        <v>200</v>
      </c>
      <c r="AT238" s="147" t="s">
        <v>141</v>
      </c>
      <c r="AU238" s="147" t="s">
        <v>82</v>
      </c>
      <c r="AY238" s="19" t="s">
        <v>138</v>
      </c>
      <c r="BE238" s="148">
        <f>IF(N238="základní",J238,0)</f>
        <v>0</v>
      </c>
      <c r="BF238" s="148">
        <f>IF(N238="snížená",J238,0)</f>
        <v>0</v>
      </c>
      <c r="BG238" s="148">
        <f>IF(N238="zákl. přenesená",J238,0)</f>
        <v>0</v>
      </c>
      <c r="BH238" s="148">
        <f>IF(N238="sníž. přenesená",J238,0)</f>
        <v>0</v>
      </c>
      <c r="BI238" s="148">
        <f>IF(N238="nulová",J238,0)</f>
        <v>0</v>
      </c>
      <c r="BJ238" s="19" t="s">
        <v>80</v>
      </c>
      <c r="BK238" s="148">
        <f>ROUND(I238*H238,2)</f>
        <v>0</v>
      </c>
      <c r="BL238" s="19" t="s">
        <v>200</v>
      </c>
      <c r="BM238" s="147" t="s">
        <v>666</v>
      </c>
    </row>
    <row r="239" spans="1:65" s="13" customFormat="1">
      <c r="B239" s="149"/>
      <c r="D239" s="150" t="s">
        <v>145</v>
      </c>
      <c r="E239" s="151" t="s">
        <v>3</v>
      </c>
      <c r="F239" s="152" t="s">
        <v>660</v>
      </c>
      <c r="H239" s="151" t="s">
        <v>3</v>
      </c>
      <c r="L239" s="149"/>
      <c r="M239" s="153"/>
      <c r="N239" s="154"/>
      <c r="O239" s="154"/>
      <c r="P239" s="154"/>
      <c r="Q239" s="154"/>
      <c r="R239" s="154"/>
      <c r="S239" s="154"/>
      <c r="T239" s="155"/>
      <c r="AT239" s="151" t="s">
        <v>145</v>
      </c>
      <c r="AU239" s="151" t="s">
        <v>82</v>
      </c>
      <c r="AV239" s="13" t="s">
        <v>80</v>
      </c>
      <c r="AW239" s="13" t="s">
        <v>34</v>
      </c>
      <c r="AX239" s="13" t="s">
        <v>72</v>
      </c>
      <c r="AY239" s="151" t="s">
        <v>138</v>
      </c>
    </row>
    <row r="240" spans="1:65" s="14" customFormat="1">
      <c r="B240" s="156"/>
      <c r="D240" s="150" t="s">
        <v>145</v>
      </c>
      <c r="E240" s="157" t="s">
        <v>3</v>
      </c>
      <c r="F240" s="158" t="s">
        <v>1369</v>
      </c>
      <c r="H240" s="159">
        <f>H232</f>
        <v>9</v>
      </c>
      <c r="L240" s="156"/>
      <c r="M240" s="160"/>
      <c r="N240" s="161"/>
      <c r="O240" s="161"/>
      <c r="P240" s="161"/>
      <c r="Q240" s="161"/>
      <c r="R240" s="161"/>
      <c r="S240" s="161"/>
      <c r="T240" s="162"/>
      <c r="AT240" s="157" t="s">
        <v>145</v>
      </c>
      <c r="AU240" s="157" t="s">
        <v>82</v>
      </c>
      <c r="AV240" s="14" t="s">
        <v>82</v>
      </c>
      <c r="AW240" s="14" t="s">
        <v>34</v>
      </c>
      <c r="AX240" s="14" t="s">
        <v>80</v>
      </c>
      <c r="AY240" s="157" t="s">
        <v>138</v>
      </c>
    </row>
    <row r="241" spans="1:65" s="2" customFormat="1" ht="37.9" customHeight="1">
      <c r="A241" s="31"/>
      <c r="B241" s="136"/>
      <c r="C241" s="137">
        <v>44</v>
      </c>
      <c r="D241" s="137" t="s">
        <v>141</v>
      </c>
      <c r="E241" s="138" t="s">
        <v>667</v>
      </c>
      <c r="F241" s="139" t="s">
        <v>668</v>
      </c>
      <c r="G241" s="140" t="s">
        <v>160</v>
      </c>
      <c r="H241" s="141">
        <v>0.35099999999999998</v>
      </c>
      <c r="I241" s="142"/>
      <c r="J241" s="142">
        <f>ROUND(I241*H241,2)</f>
        <v>0</v>
      </c>
      <c r="K241" s="139" t="s">
        <v>148</v>
      </c>
      <c r="L241" s="32"/>
      <c r="M241" s="143" t="s">
        <v>3</v>
      </c>
      <c r="N241" s="144" t="s">
        <v>43</v>
      </c>
      <c r="O241" s="145">
        <v>3.169</v>
      </c>
      <c r="P241" s="145">
        <f>O241*H241</f>
        <v>1.1123189999999998</v>
      </c>
      <c r="Q241" s="145">
        <v>0</v>
      </c>
      <c r="R241" s="145">
        <f>Q241*H241</f>
        <v>0</v>
      </c>
      <c r="S241" s="145">
        <v>0</v>
      </c>
      <c r="T241" s="146">
        <f>S241*H241</f>
        <v>0</v>
      </c>
      <c r="U241" s="31"/>
      <c r="V241" s="31"/>
      <c r="W241" s="31"/>
      <c r="X241" s="31"/>
      <c r="Y241" s="31"/>
      <c r="Z241" s="31"/>
      <c r="AA241" s="31"/>
      <c r="AB241" s="31"/>
      <c r="AC241" s="31"/>
      <c r="AD241" s="31"/>
      <c r="AE241" s="31"/>
      <c r="AR241" s="147" t="s">
        <v>200</v>
      </c>
      <c r="AT241" s="147" t="s">
        <v>141</v>
      </c>
      <c r="AU241" s="147" t="s">
        <v>82</v>
      </c>
      <c r="AY241" s="19" t="s">
        <v>138</v>
      </c>
      <c r="BE241" s="148">
        <f>IF(N241="základní",J241,0)</f>
        <v>0</v>
      </c>
      <c r="BF241" s="148">
        <f>IF(N241="snížená",J241,0)</f>
        <v>0</v>
      </c>
      <c r="BG241" s="148">
        <f>IF(N241="zákl. přenesená",J241,0)</f>
        <v>0</v>
      </c>
      <c r="BH241" s="148">
        <f>IF(N241="sníž. přenesená",J241,0)</f>
        <v>0</v>
      </c>
      <c r="BI241" s="148">
        <f>IF(N241="nulová",J241,0)</f>
        <v>0</v>
      </c>
      <c r="BJ241" s="19" t="s">
        <v>80</v>
      </c>
      <c r="BK241" s="148">
        <f>ROUND(I241*H241,2)</f>
        <v>0</v>
      </c>
      <c r="BL241" s="19" t="s">
        <v>200</v>
      </c>
      <c r="BM241" s="147" t="s">
        <v>669</v>
      </c>
    </row>
    <row r="242" spans="1:65" s="2" customFormat="1" ht="24.2" customHeight="1">
      <c r="A242" s="31"/>
      <c r="B242" s="136"/>
      <c r="C242" s="137">
        <v>45</v>
      </c>
      <c r="D242" s="137" t="s">
        <v>141</v>
      </c>
      <c r="E242" s="138" t="s">
        <v>670</v>
      </c>
      <c r="F242" s="139" t="s">
        <v>671</v>
      </c>
      <c r="G242" s="140" t="s">
        <v>147</v>
      </c>
      <c r="H242" s="141">
        <v>6</v>
      </c>
      <c r="I242" s="142"/>
      <c r="J242" s="142">
        <f>ROUND(I242*H242,2)</f>
        <v>0</v>
      </c>
      <c r="K242" s="139" t="s">
        <v>148</v>
      </c>
      <c r="L242" s="32"/>
      <c r="M242" s="143" t="s">
        <v>3</v>
      </c>
      <c r="N242" s="144" t="s">
        <v>43</v>
      </c>
      <c r="O242" s="145">
        <v>1.1000000000000001</v>
      </c>
      <c r="P242" s="145">
        <f>O242*H242</f>
        <v>6.6000000000000005</v>
      </c>
      <c r="Q242" s="145">
        <v>2.47E-3</v>
      </c>
      <c r="R242" s="145">
        <f>Q242*H242</f>
        <v>1.482E-2</v>
      </c>
      <c r="S242" s="145">
        <v>0</v>
      </c>
      <c r="T242" s="146">
        <f>S242*H242</f>
        <v>0</v>
      </c>
      <c r="U242" s="31"/>
      <c r="V242" s="31"/>
      <c r="W242" s="31"/>
      <c r="X242" s="31"/>
      <c r="Y242" s="31"/>
      <c r="Z242" s="31"/>
      <c r="AA242" s="31"/>
      <c r="AB242" s="31"/>
      <c r="AC242" s="31"/>
      <c r="AD242" s="31"/>
      <c r="AE242" s="31"/>
      <c r="AR242" s="147" t="s">
        <v>200</v>
      </c>
      <c r="AT242" s="147" t="s">
        <v>141</v>
      </c>
      <c r="AU242" s="147" t="s">
        <v>82</v>
      </c>
      <c r="AY242" s="19" t="s">
        <v>138</v>
      </c>
      <c r="BE242" s="148">
        <f>IF(N242="základní",J242,0)</f>
        <v>0</v>
      </c>
      <c r="BF242" s="148">
        <f>IF(N242="snížená",J242,0)</f>
        <v>0</v>
      </c>
      <c r="BG242" s="148">
        <f>IF(N242="zákl. přenesená",J242,0)</f>
        <v>0</v>
      </c>
      <c r="BH242" s="148">
        <f>IF(N242="sníž. přenesená",J242,0)</f>
        <v>0</v>
      </c>
      <c r="BI242" s="148">
        <f>IF(N242="nulová",J242,0)</f>
        <v>0</v>
      </c>
      <c r="BJ242" s="19" t="s">
        <v>80</v>
      </c>
      <c r="BK242" s="148">
        <f>ROUND(I242*H242,2)</f>
        <v>0</v>
      </c>
      <c r="BL242" s="19" t="s">
        <v>200</v>
      </c>
      <c r="BM242" s="147" t="s">
        <v>672</v>
      </c>
    </row>
    <row r="243" spans="1:65" s="2" customFormat="1" ht="39">
      <c r="A243" s="31"/>
      <c r="B243" s="32"/>
      <c r="C243" s="31"/>
      <c r="D243" s="150" t="s">
        <v>149</v>
      </c>
      <c r="E243" s="31"/>
      <c r="F243" s="163" t="s">
        <v>673</v>
      </c>
      <c r="G243" s="31"/>
      <c r="H243" s="31"/>
      <c r="I243" s="31"/>
      <c r="J243" s="31"/>
      <c r="K243" s="31"/>
      <c r="L243" s="32"/>
      <c r="M243" s="164"/>
      <c r="N243" s="165"/>
      <c r="O243" s="52"/>
      <c r="P243" s="52"/>
      <c r="Q243" s="52"/>
      <c r="R243" s="52"/>
      <c r="S243" s="52"/>
      <c r="T243" s="53"/>
      <c r="U243" s="31"/>
      <c r="V243" s="31"/>
      <c r="W243" s="31"/>
      <c r="X243" s="31"/>
      <c r="Y243" s="31"/>
      <c r="Z243" s="31"/>
      <c r="AA243" s="31"/>
      <c r="AB243" s="31"/>
      <c r="AC243" s="31"/>
      <c r="AD243" s="31"/>
      <c r="AE243" s="31"/>
      <c r="AT243" s="19" t="s">
        <v>149</v>
      </c>
      <c r="AU243" s="19" t="s">
        <v>82</v>
      </c>
    </row>
    <row r="244" spans="1:65" s="2" customFormat="1" ht="29.25">
      <c r="A244" s="31"/>
      <c r="B244" s="32"/>
      <c r="C244" s="31"/>
      <c r="D244" s="150" t="s">
        <v>242</v>
      </c>
      <c r="E244" s="31"/>
      <c r="F244" s="163" t="s">
        <v>674</v>
      </c>
      <c r="G244" s="31"/>
      <c r="H244" s="31"/>
      <c r="I244" s="31"/>
      <c r="J244" s="31"/>
      <c r="K244" s="31"/>
      <c r="L244" s="32"/>
      <c r="M244" s="164"/>
      <c r="N244" s="165"/>
      <c r="O244" s="52"/>
      <c r="P244" s="52"/>
      <c r="Q244" s="52"/>
      <c r="R244" s="52"/>
      <c r="S244" s="52"/>
      <c r="T244" s="53"/>
      <c r="U244" s="31"/>
      <c r="V244" s="31"/>
      <c r="W244" s="31"/>
      <c r="X244" s="31"/>
      <c r="Y244" s="31"/>
      <c r="Z244" s="31"/>
      <c r="AA244" s="31"/>
      <c r="AB244" s="31"/>
      <c r="AC244" s="31"/>
      <c r="AD244" s="31"/>
      <c r="AE244" s="31"/>
      <c r="AT244" s="19" t="s">
        <v>242</v>
      </c>
      <c r="AU244" s="19" t="s">
        <v>82</v>
      </c>
    </row>
    <row r="245" spans="1:65" s="13" customFormat="1">
      <c r="B245" s="149"/>
      <c r="D245" s="150" t="s">
        <v>145</v>
      </c>
      <c r="E245" s="151" t="s">
        <v>3</v>
      </c>
      <c r="F245" s="152" t="s">
        <v>1371</v>
      </c>
      <c r="H245" s="151" t="s">
        <v>3</v>
      </c>
      <c r="L245" s="149"/>
      <c r="M245" s="153"/>
      <c r="N245" s="154"/>
      <c r="O245" s="154"/>
      <c r="P245" s="154"/>
      <c r="Q245" s="154"/>
      <c r="R245" s="154"/>
      <c r="S245" s="154"/>
      <c r="T245" s="155"/>
      <c r="AT245" s="151" t="s">
        <v>145</v>
      </c>
      <c r="AU245" s="151" t="s">
        <v>82</v>
      </c>
      <c r="AV245" s="13" t="s">
        <v>80</v>
      </c>
      <c r="AW245" s="13" t="s">
        <v>34</v>
      </c>
      <c r="AX245" s="13" t="s">
        <v>72</v>
      </c>
      <c r="AY245" s="151" t="s">
        <v>138</v>
      </c>
    </row>
    <row r="246" spans="1:65" s="13" customFormat="1">
      <c r="B246" s="149"/>
      <c r="D246" s="150" t="s">
        <v>145</v>
      </c>
      <c r="E246" s="151" t="s">
        <v>3</v>
      </c>
      <c r="F246" s="152" t="s">
        <v>156</v>
      </c>
      <c r="H246" s="151" t="s">
        <v>3</v>
      </c>
      <c r="L246" s="149"/>
      <c r="M246" s="153"/>
      <c r="N246" s="154"/>
      <c r="O246" s="154"/>
      <c r="P246" s="154"/>
      <c r="Q246" s="154"/>
      <c r="R246" s="154"/>
      <c r="S246" s="154"/>
      <c r="T246" s="155"/>
      <c r="AT246" s="151" t="s">
        <v>145</v>
      </c>
      <c r="AU246" s="151" t="s">
        <v>82</v>
      </c>
      <c r="AV246" s="13" t="s">
        <v>80</v>
      </c>
      <c r="AW246" s="13" t="s">
        <v>34</v>
      </c>
      <c r="AX246" s="13" t="s">
        <v>72</v>
      </c>
      <c r="AY246" s="151" t="s">
        <v>138</v>
      </c>
    </row>
    <row r="247" spans="1:65" s="14" customFormat="1">
      <c r="B247" s="156"/>
      <c r="D247" s="150" t="s">
        <v>145</v>
      </c>
      <c r="E247" s="157" t="s">
        <v>3</v>
      </c>
      <c r="F247" s="158">
        <v>3</v>
      </c>
      <c r="H247" s="159">
        <v>3</v>
      </c>
      <c r="L247" s="156"/>
      <c r="M247" s="160"/>
      <c r="N247" s="161"/>
      <c r="O247" s="161"/>
      <c r="P247" s="161"/>
      <c r="Q247" s="161"/>
      <c r="R247" s="161"/>
      <c r="S247" s="161"/>
      <c r="T247" s="162"/>
      <c r="AT247" s="157" t="s">
        <v>145</v>
      </c>
      <c r="AU247" s="157" t="s">
        <v>82</v>
      </c>
      <c r="AV247" s="14" t="s">
        <v>82</v>
      </c>
      <c r="AW247" s="14" t="s">
        <v>34</v>
      </c>
      <c r="AX247" s="14" t="s">
        <v>72</v>
      </c>
      <c r="AY247" s="157" t="s">
        <v>138</v>
      </c>
    </row>
    <row r="248" spans="1:65" s="13" customFormat="1">
      <c r="B248" s="149"/>
      <c r="D248" s="150" t="s">
        <v>145</v>
      </c>
      <c r="E248" s="151" t="s">
        <v>3</v>
      </c>
      <c r="F248" s="152" t="s">
        <v>157</v>
      </c>
      <c r="H248" s="151" t="s">
        <v>3</v>
      </c>
      <c r="L248" s="149"/>
      <c r="M248" s="153"/>
      <c r="N248" s="154"/>
      <c r="O248" s="154"/>
      <c r="P248" s="154"/>
      <c r="Q248" s="154"/>
      <c r="R248" s="154"/>
      <c r="S248" s="154"/>
      <c r="T248" s="155"/>
      <c r="AT248" s="151" t="s">
        <v>145</v>
      </c>
      <c r="AU248" s="151" t="s">
        <v>82</v>
      </c>
      <c r="AV248" s="13" t="s">
        <v>80</v>
      </c>
      <c r="AW248" s="13" t="s">
        <v>34</v>
      </c>
      <c r="AX248" s="13" t="s">
        <v>72</v>
      </c>
      <c r="AY248" s="151" t="s">
        <v>138</v>
      </c>
    </row>
    <row r="249" spans="1:65" s="14" customFormat="1">
      <c r="B249" s="156"/>
      <c r="D249" s="150" t="s">
        <v>145</v>
      </c>
      <c r="E249" s="157" t="s">
        <v>3</v>
      </c>
      <c r="F249" s="158">
        <v>3</v>
      </c>
      <c r="H249" s="159">
        <v>3</v>
      </c>
      <c r="L249" s="156"/>
      <c r="M249" s="160"/>
      <c r="N249" s="161"/>
      <c r="O249" s="161"/>
      <c r="P249" s="161"/>
      <c r="Q249" s="161"/>
      <c r="R249" s="161"/>
      <c r="S249" s="161"/>
      <c r="T249" s="162"/>
      <c r="AT249" s="157" t="s">
        <v>145</v>
      </c>
      <c r="AU249" s="157" t="s">
        <v>82</v>
      </c>
      <c r="AV249" s="14" t="s">
        <v>82</v>
      </c>
      <c r="AW249" s="14" t="s">
        <v>34</v>
      </c>
      <c r="AX249" s="14" t="s">
        <v>72</v>
      </c>
      <c r="AY249" s="157" t="s">
        <v>138</v>
      </c>
    </row>
    <row r="250" spans="1:65" s="2" customFormat="1" ht="37.9" customHeight="1">
      <c r="A250" s="31"/>
      <c r="B250" s="136"/>
      <c r="C250" s="173">
        <v>46</v>
      </c>
      <c r="D250" s="173" t="s">
        <v>164</v>
      </c>
      <c r="E250" s="174" t="s">
        <v>675</v>
      </c>
      <c r="F250" s="175" t="s">
        <v>1338</v>
      </c>
      <c r="G250" s="176" t="s">
        <v>147</v>
      </c>
      <c r="H250" s="177">
        <f>H242</f>
        <v>6</v>
      </c>
      <c r="I250" s="281"/>
      <c r="J250" s="178">
        <f>ROUND(I250*H250,2)</f>
        <v>0</v>
      </c>
      <c r="K250" s="175" t="s">
        <v>143</v>
      </c>
      <c r="L250" s="179"/>
      <c r="M250" s="180" t="s">
        <v>3</v>
      </c>
      <c r="N250" s="181" t="s">
        <v>43</v>
      </c>
      <c r="O250" s="145">
        <v>0</v>
      </c>
      <c r="P250" s="145">
        <f>O250*H250</f>
        <v>0</v>
      </c>
      <c r="Q250" s="145">
        <v>0</v>
      </c>
      <c r="R250" s="145">
        <f>Q250*H250</f>
        <v>0</v>
      </c>
      <c r="S250" s="145">
        <v>0</v>
      </c>
      <c r="T250" s="146">
        <f>S250*H250</f>
        <v>0</v>
      </c>
      <c r="U250" s="31"/>
      <c r="V250" s="274"/>
      <c r="W250" s="275"/>
      <c r="X250" s="31"/>
      <c r="Y250" s="31"/>
      <c r="Z250" s="31"/>
      <c r="AA250" s="31"/>
      <c r="AB250" s="31"/>
      <c r="AC250" s="31"/>
      <c r="AD250" s="31"/>
      <c r="AE250" s="31"/>
      <c r="AR250" s="147" t="s">
        <v>224</v>
      </c>
      <c r="AT250" s="147" t="s">
        <v>164</v>
      </c>
      <c r="AU250" s="147" t="s">
        <v>82</v>
      </c>
      <c r="AY250" s="19" t="s">
        <v>138</v>
      </c>
      <c r="BE250" s="148">
        <f>IF(N250="základní",J250,0)</f>
        <v>0</v>
      </c>
      <c r="BF250" s="148">
        <f>IF(N250="snížená",J250,0)</f>
        <v>0</v>
      </c>
      <c r="BG250" s="148">
        <f>IF(N250="zákl. přenesená",J250,0)</f>
        <v>0</v>
      </c>
      <c r="BH250" s="148">
        <f>IF(N250="sníž. přenesená",J250,0)</f>
        <v>0</v>
      </c>
      <c r="BI250" s="148">
        <f>IF(N250="nulová",J250,0)</f>
        <v>0</v>
      </c>
      <c r="BJ250" s="19" t="s">
        <v>80</v>
      </c>
      <c r="BK250" s="148">
        <f>ROUND(I250*H250,2)</f>
        <v>0</v>
      </c>
      <c r="BL250" s="19" t="s">
        <v>200</v>
      </c>
      <c r="BM250" s="147" t="s">
        <v>676</v>
      </c>
    </row>
    <row r="251" spans="1:65" s="2" customFormat="1" ht="24.2" customHeight="1">
      <c r="A251" s="277"/>
      <c r="B251" s="136"/>
      <c r="C251" s="137">
        <v>47</v>
      </c>
      <c r="D251" s="137" t="s">
        <v>141</v>
      </c>
      <c r="E251" s="138" t="s">
        <v>1286</v>
      </c>
      <c r="F251" s="139" t="s">
        <v>1284</v>
      </c>
      <c r="G251" s="140" t="s">
        <v>147</v>
      </c>
      <c r="H251" s="141">
        <f>H256</f>
        <v>1</v>
      </c>
      <c r="I251" s="142"/>
      <c r="J251" s="142">
        <f>ROUND(I251*H251,2)</f>
        <v>0</v>
      </c>
      <c r="K251" s="139" t="s">
        <v>148</v>
      </c>
      <c r="L251" s="32"/>
      <c r="M251" s="143" t="s">
        <v>3</v>
      </c>
      <c r="N251" s="144" t="s">
        <v>43</v>
      </c>
      <c r="O251" s="145">
        <v>1.1000000000000001</v>
      </c>
      <c r="P251" s="145">
        <f>O251*H251</f>
        <v>1.1000000000000001</v>
      </c>
      <c r="Q251" s="145">
        <v>2.47E-3</v>
      </c>
      <c r="R251" s="145">
        <f>Q251*H251</f>
        <v>2.47E-3</v>
      </c>
      <c r="S251" s="145">
        <v>0</v>
      </c>
      <c r="T251" s="146">
        <f>S251*H251</f>
        <v>0</v>
      </c>
      <c r="U251" s="277"/>
      <c r="V251" s="277"/>
      <c r="W251" s="277"/>
      <c r="X251" s="277"/>
      <c r="Y251" s="277"/>
      <c r="Z251" s="277"/>
      <c r="AA251" s="277"/>
      <c r="AB251" s="277"/>
      <c r="AC251" s="277"/>
      <c r="AD251" s="277"/>
      <c r="AE251" s="277"/>
      <c r="AR251" s="147" t="s">
        <v>200</v>
      </c>
      <c r="AT251" s="147" t="s">
        <v>141</v>
      </c>
      <c r="AU251" s="147" t="s">
        <v>82</v>
      </c>
      <c r="AY251" s="19" t="s">
        <v>138</v>
      </c>
      <c r="BE251" s="148">
        <f>IF(N251="základní",J251,0)</f>
        <v>0</v>
      </c>
      <c r="BF251" s="148">
        <f>IF(N251="snížená",J251,0)</f>
        <v>0</v>
      </c>
      <c r="BG251" s="148">
        <f>IF(N251="zákl. přenesená",J251,0)</f>
        <v>0</v>
      </c>
      <c r="BH251" s="148">
        <f>IF(N251="sníž. přenesená",J251,0)</f>
        <v>0</v>
      </c>
      <c r="BI251" s="148">
        <f>IF(N251="nulová",J251,0)</f>
        <v>0</v>
      </c>
      <c r="BJ251" s="19" t="s">
        <v>80</v>
      </c>
      <c r="BK251" s="148">
        <f>ROUND(I251*H251,2)</f>
        <v>0</v>
      </c>
      <c r="BL251" s="19" t="s">
        <v>200</v>
      </c>
      <c r="BM251" s="147" t="s">
        <v>672</v>
      </c>
    </row>
    <row r="252" spans="1:65" s="2" customFormat="1" ht="39">
      <c r="A252" s="277"/>
      <c r="B252" s="32"/>
      <c r="C252" s="277"/>
      <c r="D252" s="150" t="s">
        <v>149</v>
      </c>
      <c r="E252" s="277"/>
      <c r="F252" s="163" t="s">
        <v>1285</v>
      </c>
      <c r="G252" s="277"/>
      <c r="H252" s="277"/>
      <c r="I252" s="277"/>
      <c r="J252" s="277"/>
      <c r="K252" s="277"/>
      <c r="L252" s="32"/>
      <c r="M252" s="164"/>
      <c r="N252" s="165"/>
      <c r="O252" s="52"/>
      <c r="P252" s="52"/>
      <c r="Q252" s="52"/>
      <c r="R252" s="52"/>
      <c r="S252" s="52"/>
      <c r="T252" s="53"/>
      <c r="U252" s="277"/>
      <c r="V252" s="277"/>
      <c r="W252" s="277"/>
      <c r="X252" s="277"/>
      <c r="Y252" s="277"/>
      <c r="Z252" s="277"/>
      <c r="AA252" s="277"/>
      <c r="AB252" s="277"/>
      <c r="AC252" s="277"/>
      <c r="AD252" s="277"/>
      <c r="AE252" s="277"/>
      <c r="AT252" s="19" t="s">
        <v>149</v>
      </c>
      <c r="AU252" s="19" t="s">
        <v>82</v>
      </c>
    </row>
    <row r="253" spans="1:65" s="2" customFormat="1" ht="29.25">
      <c r="A253" s="277"/>
      <c r="B253" s="32"/>
      <c r="C253" s="277"/>
      <c r="D253" s="150" t="s">
        <v>242</v>
      </c>
      <c r="E253" s="277"/>
      <c r="F253" s="163" t="s">
        <v>674</v>
      </c>
      <c r="G253" s="277"/>
      <c r="H253" s="277"/>
      <c r="I253" s="277"/>
      <c r="J253" s="277"/>
      <c r="K253" s="277"/>
      <c r="L253" s="32"/>
      <c r="M253" s="164"/>
      <c r="N253" s="165"/>
      <c r="O253" s="52"/>
      <c r="P253" s="52"/>
      <c r="Q253" s="52"/>
      <c r="R253" s="52"/>
      <c r="S253" s="52"/>
      <c r="T253" s="53"/>
      <c r="U253" s="277"/>
      <c r="V253" s="277"/>
      <c r="W253" s="277"/>
      <c r="X253" s="277"/>
      <c r="Y253" s="277"/>
      <c r="Z253" s="277"/>
      <c r="AA253" s="277"/>
      <c r="AB253" s="277"/>
      <c r="AC253" s="277"/>
      <c r="AD253" s="277"/>
      <c r="AE253" s="277"/>
      <c r="AT253" s="19" t="s">
        <v>242</v>
      </c>
      <c r="AU253" s="19" t="s">
        <v>82</v>
      </c>
    </row>
    <row r="254" spans="1:65" s="13" customFormat="1">
      <c r="B254" s="149"/>
      <c r="D254" s="150" t="s">
        <v>145</v>
      </c>
      <c r="E254" s="151" t="s">
        <v>3</v>
      </c>
      <c r="F254" s="152" t="s">
        <v>1371</v>
      </c>
      <c r="H254" s="151" t="s">
        <v>3</v>
      </c>
      <c r="L254" s="149"/>
      <c r="M254" s="153"/>
      <c r="N254" s="154"/>
      <c r="O254" s="154"/>
      <c r="P254" s="154"/>
      <c r="Q254" s="154"/>
      <c r="R254" s="154"/>
      <c r="S254" s="154"/>
      <c r="T254" s="155"/>
      <c r="AT254" s="151" t="s">
        <v>145</v>
      </c>
      <c r="AU254" s="151" t="s">
        <v>82</v>
      </c>
      <c r="AV254" s="13" t="s">
        <v>80</v>
      </c>
      <c r="AW254" s="13" t="s">
        <v>34</v>
      </c>
      <c r="AX254" s="13" t="s">
        <v>72</v>
      </c>
      <c r="AY254" s="151" t="s">
        <v>138</v>
      </c>
    </row>
    <row r="255" spans="1:65" s="13" customFormat="1">
      <c r="B255" s="149"/>
      <c r="D255" s="150" t="s">
        <v>145</v>
      </c>
      <c r="E255" s="151" t="s">
        <v>3</v>
      </c>
      <c r="F255" s="152" t="s">
        <v>156</v>
      </c>
      <c r="H255" s="151" t="s">
        <v>3</v>
      </c>
      <c r="L255" s="149"/>
      <c r="M255" s="153"/>
      <c r="N255" s="154"/>
      <c r="O255" s="154"/>
      <c r="P255" s="154"/>
      <c r="Q255" s="154"/>
      <c r="R255" s="154"/>
      <c r="S255" s="154"/>
      <c r="T255" s="155"/>
      <c r="AT255" s="151" t="s">
        <v>145</v>
      </c>
      <c r="AU255" s="151" t="s">
        <v>82</v>
      </c>
      <c r="AV255" s="13" t="s">
        <v>80</v>
      </c>
      <c r="AW255" s="13" t="s">
        <v>34</v>
      </c>
      <c r="AX255" s="13" t="s">
        <v>72</v>
      </c>
      <c r="AY255" s="151" t="s">
        <v>138</v>
      </c>
    </row>
    <row r="256" spans="1:65" s="14" customFormat="1">
      <c r="B256" s="156"/>
      <c r="D256" s="150" t="s">
        <v>145</v>
      </c>
      <c r="E256" s="157" t="s">
        <v>3</v>
      </c>
      <c r="F256" s="158">
        <v>1</v>
      </c>
      <c r="H256" s="159">
        <v>1</v>
      </c>
      <c r="L256" s="156"/>
      <c r="M256" s="160"/>
      <c r="N256" s="161"/>
      <c r="O256" s="161"/>
      <c r="P256" s="161"/>
      <c r="Q256" s="161"/>
      <c r="R256" s="161"/>
      <c r="S256" s="161"/>
      <c r="T256" s="162"/>
      <c r="AT256" s="157" t="s">
        <v>145</v>
      </c>
      <c r="AU256" s="157" t="s">
        <v>82</v>
      </c>
      <c r="AV256" s="14" t="s">
        <v>82</v>
      </c>
      <c r="AW256" s="14" t="s">
        <v>34</v>
      </c>
      <c r="AX256" s="14" t="s">
        <v>72</v>
      </c>
      <c r="AY256" s="157" t="s">
        <v>138</v>
      </c>
    </row>
    <row r="257" spans="1:65" s="2" customFormat="1" ht="37.9" customHeight="1">
      <c r="A257" s="277"/>
      <c r="B257" s="136"/>
      <c r="C257" s="173">
        <v>48</v>
      </c>
      <c r="D257" s="173" t="s">
        <v>164</v>
      </c>
      <c r="E257" s="174" t="s">
        <v>1287</v>
      </c>
      <c r="F257" s="175" t="s">
        <v>1337</v>
      </c>
      <c r="G257" s="176" t="s">
        <v>147</v>
      </c>
      <c r="H257" s="177">
        <f>H251</f>
        <v>1</v>
      </c>
      <c r="I257" s="281"/>
      <c r="J257" s="178">
        <f>ROUND(I257*H257,2)</f>
        <v>0</v>
      </c>
      <c r="K257" s="175" t="s">
        <v>143</v>
      </c>
      <c r="L257" s="179"/>
      <c r="M257" s="180" t="s">
        <v>3</v>
      </c>
      <c r="N257" s="181" t="s">
        <v>43</v>
      </c>
      <c r="O257" s="145">
        <v>0</v>
      </c>
      <c r="P257" s="145">
        <f>O257*H257</f>
        <v>0</v>
      </c>
      <c r="Q257" s="145">
        <v>0</v>
      </c>
      <c r="R257" s="145">
        <f>Q257*H257</f>
        <v>0</v>
      </c>
      <c r="S257" s="145">
        <v>0</v>
      </c>
      <c r="T257" s="146">
        <f>S257*H257</f>
        <v>0</v>
      </c>
      <c r="U257" s="277"/>
      <c r="V257" s="274"/>
      <c r="W257" s="275"/>
      <c r="X257" s="277"/>
      <c r="Y257" s="277"/>
      <c r="Z257" s="277"/>
      <c r="AA257" s="277"/>
      <c r="AB257" s="277"/>
      <c r="AC257" s="277"/>
      <c r="AD257" s="277"/>
      <c r="AE257" s="277"/>
      <c r="AR257" s="147" t="s">
        <v>224</v>
      </c>
      <c r="AT257" s="147" t="s">
        <v>164</v>
      </c>
      <c r="AU257" s="147" t="s">
        <v>82</v>
      </c>
      <c r="AY257" s="19" t="s">
        <v>138</v>
      </c>
      <c r="BE257" s="148">
        <f>IF(N257="základní",J257,0)</f>
        <v>0</v>
      </c>
      <c r="BF257" s="148">
        <f>IF(N257="snížená",J257,0)</f>
        <v>0</v>
      </c>
      <c r="BG257" s="148">
        <f>IF(N257="zákl. přenesená",J257,0)</f>
        <v>0</v>
      </c>
      <c r="BH257" s="148">
        <f>IF(N257="sníž. přenesená",J257,0)</f>
        <v>0</v>
      </c>
      <c r="BI257" s="148">
        <f>IF(N257="nulová",J257,0)</f>
        <v>0</v>
      </c>
      <c r="BJ257" s="19" t="s">
        <v>80</v>
      </c>
      <c r="BK257" s="148">
        <f>ROUND(I257*H257,2)</f>
        <v>0</v>
      </c>
      <c r="BL257" s="19" t="s">
        <v>200</v>
      </c>
      <c r="BM257" s="147" t="s">
        <v>676</v>
      </c>
    </row>
    <row r="258" spans="1:65" s="2" customFormat="1" ht="14.45" customHeight="1">
      <c r="A258" s="31"/>
      <c r="B258" s="136"/>
      <c r="C258" s="137">
        <v>49</v>
      </c>
      <c r="D258" s="137" t="s">
        <v>141</v>
      </c>
      <c r="E258" s="138" t="s">
        <v>677</v>
      </c>
      <c r="F258" s="139" t="s">
        <v>678</v>
      </c>
      <c r="G258" s="140" t="s">
        <v>578</v>
      </c>
      <c r="H258" s="141">
        <f>H262+H264</f>
        <v>8</v>
      </c>
      <c r="I258" s="278"/>
      <c r="J258" s="142">
        <f>ROUND(I258*H258,2)</f>
        <v>0</v>
      </c>
      <c r="K258" s="139" t="s">
        <v>148</v>
      </c>
      <c r="L258" s="32"/>
      <c r="M258" s="143" t="s">
        <v>3</v>
      </c>
      <c r="N258" s="144" t="s">
        <v>43</v>
      </c>
      <c r="O258" s="145">
        <v>1.1000000000000001</v>
      </c>
      <c r="P258" s="145">
        <f>O258*H258</f>
        <v>8.8000000000000007</v>
      </c>
      <c r="Q258" s="145">
        <v>1.73E-3</v>
      </c>
      <c r="R258" s="145">
        <f>Q258*H258</f>
        <v>1.384E-2</v>
      </c>
      <c r="S258" s="145">
        <v>0</v>
      </c>
      <c r="T258" s="146">
        <f>S258*H258</f>
        <v>0</v>
      </c>
      <c r="U258" s="31"/>
      <c r="V258" s="31"/>
      <c r="W258" s="31"/>
      <c r="X258" s="31"/>
      <c r="Y258" s="31"/>
      <c r="Z258" s="31"/>
      <c r="AA258" s="31"/>
      <c r="AB258" s="31"/>
      <c r="AC258" s="31"/>
      <c r="AD258" s="31"/>
      <c r="AE258" s="31"/>
      <c r="AR258" s="147" t="s">
        <v>200</v>
      </c>
      <c r="AT258" s="147" t="s">
        <v>141</v>
      </c>
      <c r="AU258" s="147" t="s">
        <v>82</v>
      </c>
      <c r="AY258" s="19" t="s">
        <v>138</v>
      </c>
      <c r="BE258" s="148">
        <f>IF(N258="základní",J258,0)</f>
        <v>0</v>
      </c>
      <c r="BF258" s="148">
        <f>IF(N258="snížená",J258,0)</f>
        <v>0</v>
      </c>
      <c r="BG258" s="148">
        <f>IF(N258="zákl. přenesená",J258,0)</f>
        <v>0</v>
      </c>
      <c r="BH258" s="148">
        <f>IF(N258="sníž. přenesená",J258,0)</f>
        <v>0</v>
      </c>
      <c r="BI258" s="148">
        <f>IF(N258="nulová",J258,0)</f>
        <v>0</v>
      </c>
      <c r="BJ258" s="19" t="s">
        <v>80</v>
      </c>
      <c r="BK258" s="148">
        <f>ROUND(I258*H258,2)</f>
        <v>0</v>
      </c>
      <c r="BL258" s="19" t="s">
        <v>200</v>
      </c>
      <c r="BM258" s="147" t="s">
        <v>679</v>
      </c>
    </row>
    <row r="259" spans="1:65" s="2" customFormat="1" ht="97.5">
      <c r="A259" s="31"/>
      <c r="B259" s="32"/>
      <c r="C259" s="31"/>
      <c r="D259" s="150" t="s">
        <v>149</v>
      </c>
      <c r="E259" s="31"/>
      <c r="F259" s="163" t="s">
        <v>680</v>
      </c>
      <c r="G259" s="31"/>
      <c r="H259" s="31"/>
      <c r="I259" s="279"/>
      <c r="J259" s="31"/>
      <c r="K259" s="31"/>
      <c r="L259" s="32"/>
      <c r="M259" s="164"/>
      <c r="N259" s="165"/>
      <c r="O259" s="52"/>
      <c r="P259" s="52"/>
      <c r="Q259" s="52"/>
      <c r="R259" s="52"/>
      <c r="S259" s="52"/>
      <c r="T259" s="53"/>
      <c r="U259" s="31"/>
      <c r="V259" s="31"/>
      <c r="W259" s="31"/>
      <c r="X259" s="31"/>
      <c r="Y259" s="31"/>
      <c r="Z259" s="31"/>
      <c r="AA259" s="31"/>
      <c r="AB259" s="31"/>
      <c r="AC259" s="31"/>
      <c r="AD259" s="31"/>
      <c r="AE259" s="31"/>
      <c r="AT259" s="19" t="s">
        <v>149</v>
      </c>
      <c r="AU259" s="19" t="s">
        <v>82</v>
      </c>
    </row>
    <row r="260" spans="1:65" s="13" customFormat="1">
      <c r="B260" s="149"/>
      <c r="D260" s="150" t="s">
        <v>145</v>
      </c>
      <c r="E260" s="151" t="s">
        <v>3</v>
      </c>
      <c r="F260" s="152" t="s">
        <v>1372</v>
      </c>
      <c r="H260" s="151" t="s">
        <v>3</v>
      </c>
      <c r="I260" s="282"/>
      <c r="L260" s="149"/>
      <c r="M260" s="153"/>
      <c r="N260" s="154"/>
      <c r="O260" s="154"/>
      <c r="P260" s="154"/>
      <c r="Q260" s="154"/>
      <c r="R260" s="154"/>
      <c r="S260" s="154"/>
      <c r="T260" s="155"/>
      <c r="AT260" s="151" t="s">
        <v>145</v>
      </c>
      <c r="AU260" s="151" t="s">
        <v>82</v>
      </c>
      <c r="AV260" s="13" t="s">
        <v>80</v>
      </c>
      <c r="AW260" s="13" t="s">
        <v>34</v>
      </c>
      <c r="AX260" s="13" t="s">
        <v>72</v>
      </c>
      <c r="AY260" s="151" t="s">
        <v>138</v>
      </c>
    </row>
    <row r="261" spans="1:65" s="13" customFormat="1">
      <c r="B261" s="149"/>
      <c r="D261" s="150" t="s">
        <v>145</v>
      </c>
      <c r="E261" s="151" t="s">
        <v>3</v>
      </c>
      <c r="F261" s="152" t="s">
        <v>156</v>
      </c>
      <c r="H261" s="151" t="s">
        <v>3</v>
      </c>
      <c r="I261" s="282"/>
      <c r="L261" s="149"/>
      <c r="M261" s="153"/>
      <c r="N261" s="154"/>
      <c r="O261" s="154"/>
      <c r="P261" s="154"/>
      <c r="Q261" s="154"/>
      <c r="R261" s="154"/>
      <c r="S261" s="154"/>
      <c r="T261" s="155"/>
      <c r="AT261" s="151" t="s">
        <v>145</v>
      </c>
      <c r="AU261" s="151" t="s">
        <v>82</v>
      </c>
      <c r="AV261" s="13" t="s">
        <v>80</v>
      </c>
      <c r="AW261" s="13" t="s">
        <v>34</v>
      </c>
      <c r="AX261" s="13" t="s">
        <v>72</v>
      </c>
      <c r="AY261" s="151" t="s">
        <v>138</v>
      </c>
    </row>
    <row r="262" spans="1:65" s="14" customFormat="1">
      <c r="B262" s="156"/>
      <c r="D262" s="150" t="s">
        <v>145</v>
      </c>
      <c r="E262" s="157" t="s">
        <v>3</v>
      </c>
      <c r="F262" s="158">
        <v>5</v>
      </c>
      <c r="H262" s="159">
        <v>5</v>
      </c>
      <c r="I262" s="280"/>
      <c r="L262" s="156"/>
      <c r="M262" s="160"/>
      <c r="N262" s="161"/>
      <c r="O262" s="161"/>
      <c r="P262" s="161"/>
      <c r="Q262" s="161"/>
      <c r="R262" s="161"/>
      <c r="S262" s="161"/>
      <c r="T262" s="162"/>
      <c r="AT262" s="157" t="s">
        <v>145</v>
      </c>
      <c r="AU262" s="157" t="s">
        <v>82</v>
      </c>
      <c r="AV262" s="14" t="s">
        <v>82</v>
      </c>
      <c r="AW262" s="14" t="s">
        <v>34</v>
      </c>
      <c r="AX262" s="14" t="s">
        <v>72</v>
      </c>
      <c r="AY262" s="157" t="s">
        <v>138</v>
      </c>
    </row>
    <row r="263" spans="1:65" s="13" customFormat="1">
      <c r="B263" s="149"/>
      <c r="D263" s="150" t="s">
        <v>145</v>
      </c>
      <c r="E263" s="151" t="s">
        <v>3</v>
      </c>
      <c r="F263" s="152" t="s">
        <v>157</v>
      </c>
      <c r="H263" s="151" t="s">
        <v>3</v>
      </c>
      <c r="I263" s="282"/>
      <c r="L263" s="149"/>
      <c r="M263" s="153"/>
      <c r="N263" s="154"/>
      <c r="O263" s="154"/>
      <c r="P263" s="154"/>
      <c r="Q263" s="154"/>
      <c r="R263" s="154"/>
      <c r="S263" s="154"/>
      <c r="T263" s="155"/>
      <c r="AT263" s="151" t="s">
        <v>145</v>
      </c>
      <c r="AU263" s="151" t="s">
        <v>82</v>
      </c>
      <c r="AV263" s="13" t="s">
        <v>80</v>
      </c>
      <c r="AW263" s="13" t="s">
        <v>34</v>
      </c>
      <c r="AX263" s="13" t="s">
        <v>72</v>
      </c>
      <c r="AY263" s="151" t="s">
        <v>138</v>
      </c>
    </row>
    <row r="264" spans="1:65" s="14" customFormat="1">
      <c r="B264" s="156"/>
      <c r="D264" s="150" t="s">
        <v>145</v>
      </c>
      <c r="E264" s="157" t="s">
        <v>3</v>
      </c>
      <c r="F264" s="158">
        <v>3</v>
      </c>
      <c r="H264" s="159">
        <v>3</v>
      </c>
      <c r="I264" s="280"/>
      <c r="L264" s="156"/>
      <c r="M264" s="160"/>
      <c r="N264" s="161"/>
      <c r="O264" s="161"/>
      <c r="P264" s="161"/>
      <c r="Q264" s="161"/>
      <c r="R264" s="161"/>
      <c r="S264" s="161"/>
      <c r="T264" s="162"/>
      <c r="AT264" s="157" t="s">
        <v>145</v>
      </c>
      <c r="AU264" s="157" t="s">
        <v>82</v>
      </c>
      <c r="AV264" s="14" t="s">
        <v>82</v>
      </c>
      <c r="AW264" s="14" t="s">
        <v>34</v>
      </c>
      <c r="AX264" s="14" t="s">
        <v>72</v>
      </c>
      <c r="AY264" s="157" t="s">
        <v>138</v>
      </c>
    </row>
    <row r="265" spans="1:65" s="2" customFormat="1" ht="24.2" customHeight="1">
      <c r="A265" s="31"/>
      <c r="B265" s="136"/>
      <c r="C265" s="173">
        <v>50</v>
      </c>
      <c r="D265" s="173" t="s">
        <v>164</v>
      </c>
      <c r="E265" s="174" t="s">
        <v>681</v>
      </c>
      <c r="F265" s="175" t="s">
        <v>1336</v>
      </c>
      <c r="G265" s="176" t="s">
        <v>147</v>
      </c>
      <c r="H265" s="177">
        <f>H258</f>
        <v>8</v>
      </c>
      <c r="I265" s="281"/>
      <c r="J265" s="178">
        <f>ROUND(I265*H265,2)</f>
        <v>0</v>
      </c>
      <c r="K265" s="175" t="s">
        <v>143</v>
      </c>
      <c r="L265" s="179"/>
      <c r="M265" s="180" t="s">
        <v>3</v>
      </c>
      <c r="N265" s="181" t="s">
        <v>43</v>
      </c>
      <c r="O265" s="145">
        <v>0</v>
      </c>
      <c r="P265" s="145">
        <f>O265*H265</f>
        <v>0</v>
      </c>
      <c r="Q265" s="145">
        <v>0</v>
      </c>
      <c r="R265" s="145">
        <f>Q265*H265</f>
        <v>0</v>
      </c>
      <c r="S265" s="145">
        <v>0</v>
      </c>
      <c r="T265" s="146">
        <f>S265*H265</f>
        <v>0</v>
      </c>
      <c r="U265" s="31"/>
      <c r="V265" s="274"/>
      <c r="W265" s="275"/>
      <c r="X265" s="31"/>
      <c r="Y265" s="31"/>
      <c r="Z265" s="31"/>
      <c r="AA265" s="31"/>
      <c r="AB265" s="31"/>
      <c r="AC265" s="31"/>
      <c r="AD265" s="31"/>
      <c r="AE265" s="31"/>
      <c r="AR265" s="147" t="s">
        <v>224</v>
      </c>
      <c r="AT265" s="147" t="s">
        <v>164</v>
      </c>
      <c r="AU265" s="147" t="s">
        <v>82</v>
      </c>
      <c r="AY265" s="19" t="s">
        <v>138</v>
      </c>
      <c r="BE265" s="148">
        <f>IF(N265="základní",J265,0)</f>
        <v>0</v>
      </c>
      <c r="BF265" s="148">
        <f>IF(N265="snížená",J265,0)</f>
        <v>0</v>
      </c>
      <c r="BG265" s="148">
        <f>IF(N265="zákl. přenesená",J265,0)</f>
        <v>0</v>
      </c>
      <c r="BH265" s="148">
        <f>IF(N265="sníž. přenesená",J265,0)</f>
        <v>0</v>
      </c>
      <c r="BI265" s="148">
        <f>IF(N265="nulová",J265,0)</f>
        <v>0</v>
      </c>
      <c r="BJ265" s="19" t="s">
        <v>80</v>
      </c>
      <c r="BK265" s="148">
        <f>ROUND(I265*H265,2)</f>
        <v>0</v>
      </c>
      <c r="BL265" s="19" t="s">
        <v>200</v>
      </c>
      <c r="BM265" s="147" t="s">
        <v>682</v>
      </c>
    </row>
    <row r="266" spans="1:65" s="2" customFormat="1" ht="24.2" customHeight="1">
      <c r="A266" s="31"/>
      <c r="B266" s="136"/>
      <c r="C266" s="137">
        <v>51</v>
      </c>
      <c r="D266" s="137" t="s">
        <v>141</v>
      </c>
      <c r="E266" s="138" t="s">
        <v>683</v>
      </c>
      <c r="F266" s="139" t="s">
        <v>684</v>
      </c>
      <c r="G266" s="140" t="s">
        <v>147</v>
      </c>
      <c r="H266" s="141">
        <f>H258</f>
        <v>8</v>
      </c>
      <c r="I266" s="278"/>
      <c r="J266" s="142">
        <f>ROUND(I266*H266,2)</f>
        <v>0</v>
      </c>
      <c r="K266" s="139" t="s">
        <v>148</v>
      </c>
      <c r="L266" s="32"/>
      <c r="M266" s="143" t="s">
        <v>3</v>
      </c>
      <c r="N266" s="144" t="s">
        <v>43</v>
      </c>
      <c r="O266" s="145">
        <v>0.32</v>
      </c>
      <c r="P266" s="145">
        <f>O266*H266</f>
        <v>2.56</v>
      </c>
      <c r="Q266" s="145">
        <v>4.0000000000000003E-5</v>
      </c>
      <c r="R266" s="145">
        <f>Q266*H266</f>
        <v>3.2000000000000003E-4</v>
      </c>
      <c r="S266" s="145">
        <v>0</v>
      </c>
      <c r="T266" s="146">
        <f>S266*H266</f>
        <v>0</v>
      </c>
      <c r="U266" s="31"/>
      <c r="V266" s="31"/>
      <c r="W266" s="31"/>
      <c r="X266" s="31"/>
      <c r="Y266" s="31"/>
      <c r="Z266" s="31"/>
      <c r="AA266" s="31"/>
      <c r="AB266" s="31"/>
      <c r="AC266" s="31"/>
      <c r="AD266" s="31"/>
      <c r="AE266" s="31"/>
      <c r="AR266" s="147" t="s">
        <v>200</v>
      </c>
      <c r="AT266" s="147" t="s">
        <v>141</v>
      </c>
      <c r="AU266" s="147" t="s">
        <v>82</v>
      </c>
      <c r="AY266" s="19" t="s">
        <v>138</v>
      </c>
      <c r="BE266" s="148">
        <f>IF(N266="základní",J266,0)</f>
        <v>0</v>
      </c>
      <c r="BF266" s="148">
        <f>IF(N266="snížená",J266,0)</f>
        <v>0</v>
      </c>
      <c r="BG266" s="148">
        <f>IF(N266="zákl. přenesená",J266,0)</f>
        <v>0</v>
      </c>
      <c r="BH266" s="148">
        <f>IF(N266="sníž. přenesená",J266,0)</f>
        <v>0</v>
      </c>
      <c r="BI266" s="148">
        <f>IF(N266="nulová",J266,0)</f>
        <v>0</v>
      </c>
      <c r="BJ266" s="19" t="s">
        <v>80</v>
      </c>
      <c r="BK266" s="148">
        <f>ROUND(I266*H266,2)</f>
        <v>0</v>
      </c>
      <c r="BL266" s="19" t="s">
        <v>200</v>
      </c>
      <c r="BM266" s="147" t="s">
        <v>685</v>
      </c>
    </row>
    <row r="267" spans="1:65" s="2" customFormat="1" ht="29.25">
      <c r="A267" s="31"/>
      <c r="B267" s="32"/>
      <c r="C267" s="31"/>
      <c r="D267" s="150" t="s">
        <v>149</v>
      </c>
      <c r="E267" s="31"/>
      <c r="F267" s="163" t="s">
        <v>686</v>
      </c>
      <c r="G267" s="31"/>
      <c r="H267" s="31"/>
      <c r="I267" s="279"/>
      <c r="J267" s="31"/>
      <c r="K267" s="31"/>
      <c r="L267" s="32"/>
      <c r="M267" s="164"/>
      <c r="N267" s="165"/>
      <c r="O267" s="52"/>
      <c r="P267" s="52"/>
      <c r="Q267" s="52"/>
      <c r="R267" s="52"/>
      <c r="S267" s="52"/>
      <c r="T267" s="53"/>
      <c r="U267" s="31"/>
      <c r="V267" s="31"/>
      <c r="W267" s="31"/>
      <c r="X267" s="31"/>
      <c r="Y267" s="31"/>
      <c r="Z267" s="31"/>
      <c r="AA267" s="31"/>
      <c r="AB267" s="31"/>
      <c r="AC267" s="31"/>
      <c r="AD267" s="31"/>
      <c r="AE267" s="31"/>
      <c r="AT267" s="19" t="s">
        <v>149</v>
      </c>
      <c r="AU267" s="19" t="s">
        <v>82</v>
      </c>
    </row>
    <row r="268" spans="1:65" s="2" customFormat="1" ht="24.2" customHeight="1">
      <c r="A268" s="31"/>
      <c r="B268" s="136"/>
      <c r="C268" s="173">
        <v>52</v>
      </c>
      <c r="D268" s="173" t="s">
        <v>164</v>
      </c>
      <c r="E268" s="174" t="s">
        <v>687</v>
      </c>
      <c r="F268" s="175" t="s">
        <v>1335</v>
      </c>
      <c r="G268" s="176" t="s">
        <v>147</v>
      </c>
      <c r="H268" s="177">
        <f>H258</f>
        <v>8</v>
      </c>
      <c r="I268" s="281"/>
      <c r="J268" s="178">
        <f>ROUND(I268*H268,2)</f>
        <v>0</v>
      </c>
      <c r="K268" s="175" t="s">
        <v>143</v>
      </c>
      <c r="L268" s="179"/>
      <c r="M268" s="180" t="s">
        <v>3</v>
      </c>
      <c r="N268" s="181" t="s">
        <v>43</v>
      </c>
      <c r="O268" s="145">
        <v>0</v>
      </c>
      <c r="P268" s="145">
        <f>O268*H268</f>
        <v>0</v>
      </c>
      <c r="Q268" s="145">
        <v>0</v>
      </c>
      <c r="R268" s="145">
        <f>Q268*H268</f>
        <v>0</v>
      </c>
      <c r="S268" s="145">
        <v>0</v>
      </c>
      <c r="T268" s="146">
        <f>S268*H268</f>
        <v>0</v>
      </c>
      <c r="U268" s="31"/>
      <c r="V268" s="31"/>
      <c r="W268" s="31"/>
      <c r="X268" s="31"/>
      <c r="Y268" s="31"/>
      <c r="Z268" s="31"/>
      <c r="AA268" s="31"/>
      <c r="AB268" s="31"/>
      <c r="AC268" s="31"/>
      <c r="AD268" s="31"/>
      <c r="AE268" s="31"/>
      <c r="AR268" s="147" t="s">
        <v>224</v>
      </c>
      <c r="AT268" s="147" t="s">
        <v>164</v>
      </c>
      <c r="AU268" s="147" t="s">
        <v>82</v>
      </c>
      <c r="AY268" s="19" t="s">
        <v>138</v>
      </c>
      <c r="BE268" s="148">
        <f>IF(N268="základní",J268,0)</f>
        <v>0</v>
      </c>
      <c r="BF268" s="148">
        <f>IF(N268="snížená",J268,0)</f>
        <v>0</v>
      </c>
      <c r="BG268" s="148">
        <f>IF(N268="zákl. přenesená",J268,0)</f>
        <v>0</v>
      </c>
      <c r="BH268" s="148">
        <f>IF(N268="sníž. přenesená",J268,0)</f>
        <v>0</v>
      </c>
      <c r="BI268" s="148">
        <f>IF(N268="nulová",J268,0)</f>
        <v>0</v>
      </c>
      <c r="BJ268" s="19" t="s">
        <v>80</v>
      </c>
      <c r="BK268" s="148">
        <f>ROUND(I268*H268,2)</f>
        <v>0</v>
      </c>
      <c r="BL268" s="19" t="s">
        <v>200</v>
      </c>
      <c r="BM268" s="147" t="s">
        <v>688</v>
      </c>
    </row>
    <row r="269" spans="1:65" s="2" customFormat="1" ht="24.2" customHeight="1">
      <c r="A269" s="31"/>
      <c r="B269" s="136"/>
      <c r="C269" s="137">
        <v>53</v>
      </c>
      <c r="D269" s="137" t="s">
        <v>141</v>
      </c>
      <c r="E269" s="138" t="s">
        <v>689</v>
      </c>
      <c r="F269" s="139" t="s">
        <v>690</v>
      </c>
      <c r="G269" s="140" t="s">
        <v>147</v>
      </c>
      <c r="H269" s="141">
        <f>H258</f>
        <v>8</v>
      </c>
      <c r="I269" s="278"/>
      <c r="J269" s="142">
        <f>ROUND(I269*H269,2)</f>
        <v>0</v>
      </c>
      <c r="K269" s="139" t="s">
        <v>148</v>
      </c>
      <c r="L269" s="32"/>
      <c r="M269" s="143" t="s">
        <v>3</v>
      </c>
      <c r="N269" s="144" t="s">
        <v>43</v>
      </c>
      <c r="O269" s="145">
        <v>0.113</v>
      </c>
      <c r="P269" s="145">
        <f>O269*H269</f>
        <v>0.90400000000000003</v>
      </c>
      <c r="Q269" s="145">
        <v>2.4000000000000001E-4</v>
      </c>
      <c r="R269" s="145">
        <f>Q269*H269</f>
        <v>1.92E-3</v>
      </c>
      <c r="S269" s="145">
        <v>0</v>
      </c>
      <c r="T269" s="146">
        <f>S269*H269</f>
        <v>0</v>
      </c>
      <c r="U269" s="31"/>
      <c r="V269" s="31"/>
      <c r="W269" s="31"/>
      <c r="X269" s="31"/>
      <c r="Y269" s="31"/>
      <c r="Z269" s="31"/>
      <c r="AA269" s="31"/>
      <c r="AB269" s="31"/>
      <c r="AC269" s="31"/>
      <c r="AD269" s="31"/>
      <c r="AE269" s="31"/>
      <c r="AR269" s="147" t="s">
        <v>200</v>
      </c>
      <c r="AT269" s="147" t="s">
        <v>141</v>
      </c>
      <c r="AU269" s="147" t="s">
        <v>82</v>
      </c>
      <c r="AY269" s="19" t="s">
        <v>138</v>
      </c>
      <c r="BE269" s="148">
        <f>IF(N269="základní",J269,0)</f>
        <v>0</v>
      </c>
      <c r="BF269" s="148">
        <f>IF(N269="snížená",J269,0)</f>
        <v>0</v>
      </c>
      <c r="BG269" s="148">
        <f>IF(N269="zákl. přenesená",J269,0)</f>
        <v>0</v>
      </c>
      <c r="BH269" s="148">
        <f>IF(N269="sníž. přenesená",J269,0)</f>
        <v>0</v>
      </c>
      <c r="BI269" s="148">
        <f>IF(N269="nulová",J269,0)</f>
        <v>0</v>
      </c>
      <c r="BJ269" s="19" t="s">
        <v>80</v>
      </c>
      <c r="BK269" s="148">
        <f>ROUND(I269*H269,2)</f>
        <v>0</v>
      </c>
      <c r="BL269" s="19" t="s">
        <v>200</v>
      </c>
      <c r="BM269" s="147" t="s">
        <v>691</v>
      </c>
    </row>
    <row r="270" spans="1:65" s="2" customFormat="1" ht="97.5">
      <c r="A270" s="31"/>
      <c r="B270" s="32"/>
      <c r="C270" s="31"/>
      <c r="D270" s="150" t="s">
        <v>149</v>
      </c>
      <c r="E270" s="31"/>
      <c r="F270" s="163" t="s">
        <v>692</v>
      </c>
      <c r="G270" s="31"/>
      <c r="H270" s="31"/>
      <c r="I270" s="279"/>
      <c r="J270" s="31"/>
      <c r="K270" s="31"/>
      <c r="L270" s="32"/>
      <c r="M270" s="164"/>
      <c r="N270" s="165"/>
      <c r="O270" s="52"/>
      <c r="P270" s="52"/>
      <c r="Q270" s="52"/>
      <c r="R270" s="52"/>
      <c r="S270" s="52"/>
      <c r="T270" s="53"/>
      <c r="U270" s="31"/>
      <c r="V270" s="31"/>
      <c r="W270" s="31"/>
      <c r="X270" s="31"/>
      <c r="Y270" s="31"/>
      <c r="Z270" s="31"/>
      <c r="AA270" s="31"/>
      <c r="AB270" s="31"/>
      <c r="AC270" s="31"/>
      <c r="AD270" s="31"/>
      <c r="AE270" s="31"/>
      <c r="AT270" s="19" t="s">
        <v>149</v>
      </c>
      <c r="AU270" s="19" t="s">
        <v>82</v>
      </c>
    </row>
    <row r="271" spans="1:65" s="2" customFormat="1" ht="24.2" customHeight="1">
      <c r="A271" s="31"/>
      <c r="B271" s="136"/>
      <c r="C271" s="137">
        <v>54</v>
      </c>
      <c r="D271" s="137" t="s">
        <v>141</v>
      </c>
      <c r="E271" s="138" t="s">
        <v>693</v>
      </c>
      <c r="F271" s="139" t="s">
        <v>694</v>
      </c>
      <c r="G271" s="140" t="s">
        <v>147</v>
      </c>
      <c r="H271" s="141">
        <v>2</v>
      </c>
      <c r="I271" s="278"/>
      <c r="J271" s="142">
        <f>ROUND(I271*H271,2)</f>
        <v>0</v>
      </c>
      <c r="K271" s="139" t="s">
        <v>148</v>
      </c>
      <c r="L271" s="32"/>
      <c r="M271" s="143" t="s">
        <v>3</v>
      </c>
      <c r="N271" s="144" t="s">
        <v>43</v>
      </c>
      <c r="O271" s="145">
        <v>0.113</v>
      </c>
      <c r="P271" s="145">
        <f>O271*H271</f>
        <v>0.22600000000000001</v>
      </c>
      <c r="Q271" s="145">
        <v>2.7999999999999998E-4</v>
      </c>
      <c r="R271" s="145">
        <f>Q271*H271</f>
        <v>5.5999999999999995E-4</v>
      </c>
      <c r="S271" s="145">
        <v>0</v>
      </c>
      <c r="T271" s="146">
        <f>S271*H271</f>
        <v>0</v>
      </c>
      <c r="U271" s="31"/>
      <c r="V271" s="31"/>
      <c r="W271" s="31"/>
      <c r="X271" s="31"/>
      <c r="Y271" s="31"/>
      <c r="Z271" s="31"/>
      <c r="AA271" s="31"/>
      <c r="AB271" s="31"/>
      <c r="AC271" s="31"/>
      <c r="AD271" s="31"/>
      <c r="AE271" s="31"/>
      <c r="AR271" s="147" t="s">
        <v>200</v>
      </c>
      <c r="AT271" s="147" t="s">
        <v>141</v>
      </c>
      <c r="AU271" s="147" t="s">
        <v>82</v>
      </c>
      <c r="AY271" s="19" t="s">
        <v>138</v>
      </c>
      <c r="BE271" s="148">
        <f>IF(N271="základní",J271,0)</f>
        <v>0</v>
      </c>
      <c r="BF271" s="148">
        <f>IF(N271="snížená",J271,0)</f>
        <v>0</v>
      </c>
      <c r="BG271" s="148">
        <f>IF(N271="zákl. přenesená",J271,0)</f>
        <v>0</v>
      </c>
      <c r="BH271" s="148">
        <f>IF(N271="sníž. přenesená",J271,0)</f>
        <v>0</v>
      </c>
      <c r="BI271" s="148">
        <f>IF(N271="nulová",J271,0)</f>
        <v>0</v>
      </c>
      <c r="BJ271" s="19" t="s">
        <v>80</v>
      </c>
      <c r="BK271" s="148">
        <f>ROUND(I271*H271,2)</f>
        <v>0</v>
      </c>
      <c r="BL271" s="19" t="s">
        <v>200</v>
      </c>
      <c r="BM271" s="147" t="s">
        <v>695</v>
      </c>
    </row>
    <row r="272" spans="1:65" s="2" customFormat="1" ht="97.5">
      <c r="A272" s="31"/>
      <c r="B272" s="32"/>
      <c r="C272" s="31"/>
      <c r="D272" s="150" t="s">
        <v>149</v>
      </c>
      <c r="E272" s="31"/>
      <c r="F272" s="163" t="s">
        <v>692</v>
      </c>
      <c r="G272" s="31"/>
      <c r="H272" s="31"/>
      <c r="I272" s="279"/>
      <c r="J272" s="31"/>
      <c r="K272" s="31"/>
      <c r="L272" s="32"/>
      <c r="M272" s="164"/>
      <c r="N272" s="165"/>
      <c r="O272" s="52"/>
      <c r="P272" s="52"/>
      <c r="Q272" s="52"/>
      <c r="R272" s="52"/>
      <c r="S272" s="52"/>
      <c r="T272" s="53"/>
      <c r="U272" s="31"/>
      <c r="V272" s="31"/>
      <c r="W272" s="31"/>
      <c r="X272" s="31"/>
      <c r="Y272" s="31"/>
      <c r="Z272" s="31"/>
      <c r="AA272" s="31"/>
      <c r="AB272" s="31"/>
      <c r="AC272" s="31"/>
      <c r="AD272" s="31"/>
      <c r="AE272" s="31"/>
      <c r="AT272" s="19" t="s">
        <v>149</v>
      </c>
      <c r="AU272" s="19" t="s">
        <v>82</v>
      </c>
    </row>
    <row r="273" spans="1:65" s="2" customFormat="1" ht="62.65" customHeight="1">
      <c r="A273" s="31"/>
      <c r="B273" s="136"/>
      <c r="C273" s="137">
        <v>55</v>
      </c>
      <c r="D273" s="137" t="s">
        <v>141</v>
      </c>
      <c r="E273" s="138" t="s">
        <v>696</v>
      </c>
      <c r="F273" s="139" t="s">
        <v>1375</v>
      </c>
      <c r="G273" s="140" t="s">
        <v>578</v>
      </c>
      <c r="H273" s="141">
        <f>H276</f>
        <v>1</v>
      </c>
      <c r="I273" s="278"/>
      <c r="J273" s="142">
        <f>ROUND(I273*H273,2)</f>
        <v>0</v>
      </c>
      <c r="K273" s="139" t="s">
        <v>143</v>
      </c>
      <c r="L273" s="32"/>
      <c r="M273" s="143" t="s">
        <v>3</v>
      </c>
      <c r="N273" s="144" t="s">
        <v>43</v>
      </c>
      <c r="O273" s="145">
        <v>0</v>
      </c>
      <c r="P273" s="145">
        <f>O273*H273</f>
        <v>0</v>
      </c>
      <c r="Q273" s="145">
        <v>0</v>
      </c>
      <c r="R273" s="145">
        <f>Q273*H273</f>
        <v>0</v>
      </c>
      <c r="S273" s="145">
        <v>0</v>
      </c>
      <c r="T273" s="146">
        <f>S273*H273</f>
        <v>0</v>
      </c>
      <c r="U273" s="31"/>
      <c r="V273" s="274"/>
      <c r="W273" s="275"/>
      <c r="X273" s="31"/>
      <c r="Y273" s="31"/>
      <c r="Z273" s="31"/>
      <c r="AA273" s="31"/>
      <c r="AB273" s="31"/>
      <c r="AC273" s="31"/>
      <c r="AD273" s="31"/>
      <c r="AE273" s="31"/>
      <c r="AR273" s="147" t="s">
        <v>200</v>
      </c>
      <c r="AT273" s="147" t="s">
        <v>141</v>
      </c>
      <c r="AU273" s="147" t="s">
        <v>82</v>
      </c>
      <c r="AY273" s="19" t="s">
        <v>138</v>
      </c>
      <c r="BE273" s="148">
        <f>IF(N273="základní",J273,0)</f>
        <v>0</v>
      </c>
      <c r="BF273" s="148">
        <f>IF(N273="snížená",J273,0)</f>
        <v>0</v>
      </c>
      <c r="BG273" s="148">
        <f>IF(N273="zákl. přenesená",J273,0)</f>
        <v>0</v>
      </c>
      <c r="BH273" s="148">
        <f>IF(N273="sníž. přenesená",J273,0)</f>
        <v>0</v>
      </c>
      <c r="BI273" s="148">
        <f>IF(N273="nulová",J273,0)</f>
        <v>0</v>
      </c>
      <c r="BJ273" s="19" t="s">
        <v>80</v>
      </c>
      <c r="BK273" s="148">
        <f>ROUND(I273*H273,2)</f>
        <v>0</v>
      </c>
      <c r="BL273" s="19" t="s">
        <v>200</v>
      </c>
      <c r="BM273" s="147" t="s">
        <v>697</v>
      </c>
    </row>
    <row r="274" spans="1:65" s="13" customFormat="1">
      <c r="B274" s="149"/>
      <c r="D274" s="150" t="s">
        <v>145</v>
      </c>
      <c r="E274" s="151" t="s">
        <v>3</v>
      </c>
      <c r="F274" s="152" t="s">
        <v>1370</v>
      </c>
      <c r="H274" s="151" t="s">
        <v>3</v>
      </c>
      <c r="I274" s="282"/>
      <c r="L274" s="149"/>
      <c r="M274" s="153"/>
      <c r="N274" s="154"/>
      <c r="O274" s="154"/>
      <c r="P274" s="154"/>
      <c r="Q274" s="154"/>
      <c r="R274" s="154"/>
      <c r="S274" s="154"/>
      <c r="T274" s="155"/>
      <c r="AT274" s="151" t="s">
        <v>145</v>
      </c>
      <c r="AU274" s="151" t="s">
        <v>82</v>
      </c>
      <c r="AV274" s="13" t="s">
        <v>80</v>
      </c>
      <c r="AW274" s="13" t="s">
        <v>34</v>
      </c>
      <c r="AX274" s="13" t="s">
        <v>72</v>
      </c>
      <c r="AY274" s="151" t="s">
        <v>138</v>
      </c>
    </row>
    <row r="275" spans="1:65" s="13" customFormat="1">
      <c r="B275" s="149"/>
      <c r="D275" s="150" t="s">
        <v>145</v>
      </c>
      <c r="E275" s="151" t="s">
        <v>3</v>
      </c>
      <c r="F275" s="152" t="s">
        <v>157</v>
      </c>
      <c r="H275" s="151" t="s">
        <v>3</v>
      </c>
      <c r="I275" s="282"/>
      <c r="L275" s="149"/>
      <c r="M275" s="153"/>
      <c r="N275" s="154"/>
      <c r="O275" s="154"/>
      <c r="P275" s="154"/>
      <c r="Q275" s="154"/>
      <c r="R275" s="154"/>
      <c r="S275" s="154"/>
      <c r="T275" s="155"/>
      <c r="AT275" s="151" t="s">
        <v>145</v>
      </c>
      <c r="AU275" s="151" t="s">
        <v>82</v>
      </c>
      <c r="AV275" s="13" t="s">
        <v>80</v>
      </c>
      <c r="AW275" s="13" t="s">
        <v>34</v>
      </c>
      <c r="AX275" s="13" t="s">
        <v>72</v>
      </c>
      <c r="AY275" s="151" t="s">
        <v>138</v>
      </c>
    </row>
    <row r="276" spans="1:65" s="14" customFormat="1">
      <c r="B276" s="156"/>
      <c r="D276" s="150" t="s">
        <v>145</v>
      </c>
      <c r="E276" s="157" t="s">
        <v>3</v>
      </c>
      <c r="F276" s="158">
        <v>1</v>
      </c>
      <c r="H276" s="159">
        <v>1</v>
      </c>
      <c r="I276" s="280"/>
      <c r="L276" s="156"/>
      <c r="M276" s="160"/>
      <c r="N276" s="161"/>
      <c r="O276" s="161"/>
      <c r="P276" s="161"/>
      <c r="Q276" s="161"/>
      <c r="R276" s="161"/>
      <c r="S276" s="161"/>
      <c r="T276" s="162"/>
      <c r="AT276" s="157" t="s">
        <v>145</v>
      </c>
      <c r="AU276" s="157" t="s">
        <v>82</v>
      </c>
      <c r="AV276" s="14" t="s">
        <v>82</v>
      </c>
      <c r="AW276" s="14" t="s">
        <v>34</v>
      </c>
      <c r="AX276" s="14" t="s">
        <v>72</v>
      </c>
      <c r="AY276" s="157" t="s">
        <v>138</v>
      </c>
    </row>
    <row r="277" spans="1:65" s="2" customFormat="1" ht="49.15" customHeight="1">
      <c r="A277" s="31"/>
      <c r="B277" s="136"/>
      <c r="C277" s="137">
        <v>56</v>
      </c>
      <c r="D277" s="137" t="s">
        <v>141</v>
      </c>
      <c r="E277" s="138" t="s">
        <v>698</v>
      </c>
      <c r="F277" s="139" t="s">
        <v>1373</v>
      </c>
      <c r="G277" s="140" t="s">
        <v>578</v>
      </c>
      <c r="H277" s="141">
        <f>H280</f>
        <v>1</v>
      </c>
      <c r="I277" s="278"/>
      <c r="J277" s="142">
        <f>ROUND(I277*H277,2)</f>
        <v>0</v>
      </c>
      <c r="K277" s="139" t="s">
        <v>143</v>
      </c>
      <c r="L277" s="32"/>
      <c r="M277" s="143" t="s">
        <v>3</v>
      </c>
      <c r="N277" s="144" t="s">
        <v>43</v>
      </c>
      <c r="O277" s="145">
        <v>0</v>
      </c>
      <c r="P277" s="145">
        <f>O277*H277</f>
        <v>0</v>
      </c>
      <c r="Q277" s="145">
        <v>0</v>
      </c>
      <c r="R277" s="145">
        <f>Q277*H277</f>
        <v>0</v>
      </c>
      <c r="S277" s="145">
        <v>0</v>
      </c>
      <c r="T277" s="146">
        <f>S277*H277</f>
        <v>0</v>
      </c>
      <c r="U277" s="31"/>
      <c r="V277" s="274"/>
      <c r="W277" s="275"/>
      <c r="X277" s="31"/>
      <c r="Y277" s="31"/>
      <c r="Z277" s="31"/>
      <c r="AA277" s="31"/>
      <c r="AB277" s="31"/>
      <c r="AC277" s="31"/>
      <c r="AD277" s="31"/>
      <c r="AE277" s="31"/>
      <c r="AR277" s="147" t="s">
        <v>200</v>
      </c>
      <c r="AT277" s="147" t="s">
        <v>141</v>
      </c>
      <c r="AU277" s="147" t="s">
        <v>82</v>
      </c>
      <c r="AY277" s="19" t="s">
        <v>138</v>
      </c>
      <c r="BE277" s="148">
        <f>IF(N277="základní",J277,0)</f>
        <v>0</v>
      </c>
      <c r="BF277" s="148">
        <f>IF(N277="snížená",J277,0)</f>
        <v>0</v>
      </c>
      <c r="BG277" s="148">
        <f>IF(N277="zákl. přenesená",J277,0)</f>
        <v>0</v>
      </c>
      <c r="BH277" s="148">
        <f>IF(N277="sníž. přenesená",J277,0)</f>
        <v>0</v>
      </c>
      <c r="BI277" s="148">
        <f>IF(N277="nulová",J277,0)</f>
        <v>0</v>
      </c>
      <c r="BJ277" s="19" t="s">
        <v>80</v>
      </c>
      <c r="BK277" s="148">
        <f>ROUND(I277*H277,2)</f>
        <v>0</v>
      </c>
      <c r="BL277" s="19" t="s">
        <v>200</v>
      </c>
      <c r="BM277" s="147" t="s">
        <v>699</v>
      </c>
    </row>
    <row r="278" spans="1:65" s="13" customFormat="1">
      <c r="B278" s="149"/>
      <c r="D278" s="150" t="s">
        <v>145</v>
      </c>
      <c r="E278" s="151" t="s">
        <v>3</v>
      </c>
      <c r="F278" s="152" t="s">
        <v>1370</v>
      </c>
      <c r="H278" s="151" t="s">
        <v>3</v>
      </c>
      <c r="I278" s="282"/>
      <c r="L278" s="149"/>
      <c r="M278" s="153"/>
      <c r="N278" s="154"/>
      <c r="O278" s="154"/>
      <c r="P278" s="154"/>
      <c r="Q278" s="154"/>
      <c r="R278" s="154"/>
      <c r="S278" s="154"/>
      <c r="T278" s="155"/>
      <c r="AT278" s="151" t="s">
        <v>145</v>
      </c>
      <c r="AU278" s="151" t="s">
        <v>82</v>
      </c>
      <c r="AV278" s="13" t="s">
        <v>80</v>
      </c>
      <c r="AW278" s="13" t="s">
        <v>34</v>
      </c>
      <c r="AX278" s="13" t="s">
        <v>72</v>
      </c>
      <c r="AY278" s="151" t="s">
        <v>138</v>
      </c>
    </row>
    <row r="279" spans="1:65" s="13" customFormat="1">
      <c r="B279" s="149"/>
      <c r="D279" s="150" t="s">
        <v>145</v>
      </c>
      <c r="E279" s="151" t="s">
        <v>3</v>
      </c>
      <c r="F279" s="152" t="s">
        <v>156</v>
      </c>
      <c r="H279" s="151" t="s">
        <v>3</v>
      </c>
      <c r="I279" s="282"/>
      <c r="L279" s="149"/>
      <c r="M279" s="153"/>
      <c r="N279" s="154"/>
      <c r="O279" s="154"/>
      <c r="P279" s="154"/>
      <c r="Q279" s="154"/>
      <c r="R279" s="154"/>
      <c r="S279" s="154"/>
      <c r="T279" s="155"/>
      <c r="AT279" s="151" t="s">
        <v>145</v>
      </c>
      <c r="AU279" s="151" t="s">
        <v>82</v>
      </c>
      <c r="AV279" s="13" t="s">
        <v>80</v>
      </c>
      <c r="AW279" s="13" t="s">
        <v>34</v>
      </c>
      <c r="AX279" s="13" t="s">
        <v>72</v>
      </c>
      <c r="AY279" s="151" t="s">
        <v>138</v>
      </c>
    </row>
    <row r="280" spans="1:65" s="14" customFormat="1">
      <c r="B280" s="156"/>
      <c r="D280" s="150" t="s">
        <v>145</v>
      </c>
      <c r="E280" s="157" t="s">
        <v>3</v>
      </c>
      <c r="F280" s="158">
        <v>1</v>
      </c>
      <c r="H280" s="159">
        <v>1</v>
      </c>
      <c r="I280" s="280"/>
      <c r="L280" s="156"/>
      <c r="M280" s="160"/>
      <c r="N280" s="161"/>
      <c r="O280" s="161"/>
      <c r="P280" s="161"/>
      <c r="Q280" s="161"/>
      <c r="R280" s="161"/>
      <c r="S280" s="161"/>
      <c r="T280" s="162"/>
      <c r="AT280" s="157" t="s">
        <v>145</v>
      </c>
      <c r="AU280" s="157" t="s">
        <v>82</v>
      </c>
      <c r="AV280" s="14" t="s">
        <v>82</v>
      </c>
      <c r="AW280" s="14" t="s">
        <v>34</v>
      </c>
      <c r="AX280" s="14" t="s">
        <v>72</v>
      </c>
      <c r="AY280" s="157" t="s">
        <v>138</v>
      </c>
    </row>
    <row r="281" spans="1:65" s="2" customFormat="1" ht="49.15" customHeight="1">
      <c r="A281" s="31"/>
      <c r="B281" s="136"/>
      <c r="C281" s="137">
        <v>57</v>
      </c>
      <c r="D281" s="137" t="s">
        <v>141</v>
      </c>
      <c r="E281" s="138" t="s">
        <v>700</v>
      </c>
      <c r="F281" s="139" t="s">
        <v>1374</v>
      </c>
      <c r="G281" s="140" t="s">
        <v>578</v>
      </c>
      <c r="H281" s="141">
        <f>H284</f>
        <v>1</v>
      </c>
      <c r="I281" s="278"/>
      <c r="J281" s="142">
        <f>ROUND(I281*H281,2)</f>
        <v>0</v>
      </c>
      <c r="K281" s="139" t="s">
        <v>143</v>
      </c>
      <c r="L281" s="32"/>
      <c r="M281" s="143" t="s">
        <v>3</v>
      </c>
      <c r="N281" s="144" t="s">
        <v>43</v>
      </c>
      <c r="O281" s="145">
        <v>0</v>
      </c>
      <c r="P281" s="145">
        <f>O281*H281</f>
        <v>0</v>
      </c>
      <c r="Q281" s="145">
        <v>0</v>
      </c>
      <c r="R281" s="145">
        <f>Q281*H281</f>
        <v>0</v>
      </c>
      <c r="S281" s="145">
        <v>0</v>
      </c>
      <c r="T281" s="146">
        <f>S281*H281</f>
        <v>0</v>
      </c>
      <c r="U281" s="31"/>
      <c r="V281" s="274"/>
      <c r="W281" s="31"/>
      <c r="X281" s="31"/>
      <c r="Y281" s="31"/>
      <c r="Z281" s="31"/>
      <c r="AA281" s="31"/>
      <c r="AB281" s="31"/>
      <c r="AC281" s="31"/>
      <c r="AD281" s="31"/>
      <c r="AE281" s="31"/>
      <c r="AR281" s="147" t="s">
        <v>200</v>
      </c>
      <c r="AT281" s="147" t="s">
        <v>141</v>
      </c>
      <c r="AU281" s="147" t="s">
        <v>82</v>
      </c>
      <c r="AY281" s="19" t="s">
        <v>138</v>
      </c>
      <c r="BE281" s="148">
        <f>IF(N281="základní",J281,0)</f>
        <v>0</v>
      </c>
      <c r="BF281" s="148">
        <f>IF(N281="snížená",J281,0)</f>
        <v>0</v>
      </c>
      <c r="BG281" s="148">
        <f>IF(N281="zákl. přenesená",J281,0)</f>
        <v>0</v>
      </c>
      <c r="BH281" s="148">
        <f>IF(N281="sníž. přenesená",J281,0)</f>
        <v>0</v>
      </c>
      <c r="BI281" s="148">
        <f>IF(N281="nulová",J281,0)</f>
        <v>0</v>
      </c>
      <c r="BJ281" s="19" t="s">
        <v>80</v>
      </c>
      <c r="BK281" s="148">
        <f>ROUND(I281*H281,2)</f>
        <v>0</v>
      </c>
      <c r="BL281" s="19" t="s">
        <v>200</v>
      </c>
      <c r="BM281" s="147" t="s">
        <v>701</v>
      </c>
    </row>
    <row r="282" spans="1:65" s="13" customFormat="1">
      <c r="B282" s="149"/>
      <c r="D282" s="150" t="s">
        <v>145</v>
      </c>
      <c r="E282" s="151" t="s">
        <v>3</v>
      </c>
      <c r="F282" s="152" t="s">
        <v>1370</v>
      </c>
      <c r="H282" s="151" t="s">
        <v>3</v>
      </c>
      <c r="I282" s="282"/>
      <c r="L282" s="149"/>
      <c r="M282" s="153"/>
      <c r="N282" s="154"/>
      <c r="O282" s="154"/>
      <c r="P282" s="154"/>
      <c r="Q282" s="154"/>
      <c r="R282" s="154"/>
      <c r="S282" s="154"/>
      <c r="T282" s="155"/>
      <c r="AT282" s="151" t="s">
        <v>145</v>
      </c>
      <c r="AU282" s="151" t="s">
        <v>82</v>
      </c>
      <c r="AV282" s="13" t="s">
        <v>80</v>
      </c>
      <c r="AW282" s="13" t="s">
        <v>34</v>
      </c>
      <c r="AX282" s="13" t="s">
        <v>72</v>
      </c>
      <c r="AY282" s="151" t="s">
        <v>138</v>
      </c>
    </row>
    <row r="283" spans="1:65" s="13" customFormat="1">
      <c r="B283" s="149"/>
      <c r="D283" s="150" t="s">
        <v>145</v>
      </c>
      <c r="E283" s="151" t="s">
        <v>3</v>
      </c>
      <c r="F283" s="152" t="s">
        <v>156</v>
      </c>
      <c r="H283" s="151" t="s">
        <v>3</v>
      </c>
      <c r="I283" s="282"/>
      <c r="L283" s="149"/>
      <c r="M283" s="153"/>
      <c r="N283" s="154"/>
      <c r="O283" s="154"/>
      <c r="P283" s="154"/>
      <c r="Q283" s="154"/>
      <c r="R283" s="154"/>
      <c r="S283" s="154"/>
      <c r="T283" s="155"/>
      <c r="AT283" s="151" t="s">
        <v>145</v>
      </c>
      <c r="AU283" s="151" t="s">
        <v>82</v>
      </c>
      <c r="AV283" s="13" t="s">
        <v>80</v>
      </c>
      <c r="AW283" s="13" t="s">
        <v>34</v>
      </c>
      <c r="AX283" s="13" t="s">
        <v>72</v>
      </c>
      <c r="AY283" s="151" t="s">
        <v>138</v>
      </c>
    </row>
    <row r="284" spans="1:65" s="14" customFormat="1">
      <c r="B284" s="156"/>
      <c r="D284" s="150" t="s">
        <v>145</v>
      </c>
      <c r="E284" s="157" t="s">
        <v>3</v>
      </c>
      <c r="F284" s="158">
        <v>1</v>
      </c>
      <c r="H284" s="159">
        <v>1</v>
      </c>
      <c r="I284" s="280"/>
      <c r="L284" s="156"/>
      <c r="M284" s="160"/>
      <c r="N284" s="161"/>
      <c r="O284" s="161"/>
      <c r="P284" s="161"/>
      <c r="Q284" s="161"/>
      <c r="R284" s="161"/>
      <c r="S284" s="161"/>
      <c r="T284" s="162"/>
      <c r="AT284" s="157" t="s">
        <v>145</v>
      </c>
      <c r="AU284" s="157" t="s">
        <v>82</v>
      </c>
      <c r="AV284" s="14" t="s">
        <v>82</v>
      </c>
      <c r="AW284" s="14" t="s">
        <v>34</v>
      </c>
      <c r="AX284" s="14" t="s">
        <v>72</v>
      </c>
      <c r="AY284" s="157" t="s">
        <v>138</v>
      </c>
    </row>
    <row r="285" spans="1:65" s="2" customFormat="1" ht="24.2" customHeight="1">
      <c r="A285" s="31"/>
      <c r="B285" s="136"/>
      <c r="C285" s="137">
        <v>58</v>
      </c>
      <c r="D285" s="137" t="s">
        <v>141</v>
      </c>
      <c r="E285" s="138" t="s">
        <v>702</v>
      </c>
      <c r="F285" s="139" t="s">
        <v>703</v>
      </c>
      <c r="G285" s="140" t="s">
        <v>147</v>
      </c>
      <c r="H285" s="141">
        <f>H290</f>
        <v>2</v>
      </c>
      <c r="I285" s="278"/>
      <c r="J285" s="142">
        <f>ROUND(I285*H285,2)</f>
        <v>0</v>
      </c>
      <c r="K285" s="139" t="s">
        <v>148</v>
      </c>
      <c r="L285" s="32"/>
      <c r="M285" s="143" t="s">
        <v>3</v>
      </c>
      <c r="N285" s="144" t="s">
        <v>43</v>
      </c>
      <c r="O285" s="145">
        <v>0.65500000000000003</v>
      </c>
      <c r="P285" s="145">
        <f>O285*H285</f>
        <v>1.31</v>
      </c>
      <c r="Q285" s="145">
        <v>1.2999999999999999E-4</v>
      </c>
      <c r="R285" s="145">
        <f>Q285*H285</f>
        <v>2.5999999999999998E-4</v>
      </c>
      <c r="S285" s="145">
        <v>0</v>
      </c>
      <c r="T285" s="146">
        <f>S285*H285</f>
        <v>0</v>
      </c>
      <c r="U285" s="31"/>
      <c r="V285" s="31"/>
      <c r="W285" s="31"/>
      <c r="X285" s="31"/>
      <c r="Y285" s="31"/>
      <c r="Z285" s="31"/>
      <c r="AA285" s="31"/>
      <c r="AB285" s="31"/>
      <c r="AC285" s="31"/>
      <c r="AD285" s="31"/>
      <c r="AE285" s="31"/>
      <c r="AR285" s="147" t="s">
        <v>200</v>
      </c>
      <c r="AT285" s="147" t="s">
        <v>141</v>
      </c>
      <c r="AU285" s="147" t="s">
        <v>82</v>
      </c>
      <c r="AY285" s="19" t="s">
        <v>138</v>
      </c>
      <c r="BE285" s="148">
        <f>IF(N285="základní",J285,0)</f>
        <v>0</v>
      </c>
      <c r="BF285" s="148">
        <f>IF(N285="snížená",J285,0)</f>
        <v>0</v>
      </c>
      <c r="BG285" s="148">
        <f>IF(N285="zákl. přenesená",J285,0)</f>
        <v>0</v>
      </c>
      <c r="BH285" s="148">
        <f>IF(N285="sníž. přenesená",J285,0)</f>
        <v>0</v>
      </c>
      <c r="BI285" s="148">
        <f>IF(N285="nulová",J285,0)</f>
        <v>0</v>
      </c>
      <c r="BJ285" s="19" t="s">
        <v>80</v>
      </c>
      <c r="BK285" s="148">
        <f>ROUND(I285*H285,2)</f>
        <v>0</v>
      </c>
      <c r="BL285" s="19" t="s">
        <v>200</v>
      </c>
      <c r="BM285" s="147" t="s">
        <v>704</v>
      </c>
    </row>
    <row r="286" spans="1:65" s="2" customFormat="1" ht="29.25">
      <c r="A286" s="31"/>
      <c r="B286" s="32"/>
      <c r="C286" s="31"/>
      <c r="D286" s="150" t="s">
        <v>149</v>
      </c>
      <c r="E286" s="31"/>
      <c r="F286" s="163" t="s">
        <v>705</v>
      </c>
      <c r="G286" s="31"/>
      <c r="H286" s="31"/>
      <c r="I286" s="279"/>
      <c r="J286" s="31"/>
      <c r="K286" s="31"/>
      <c r="L286" s="32"/>
      <c r="M286" s="164"/>
      <c r="N286" s="165"/>
      <c r="O286" s="52"/>
      <c r="P286" s="52"/>
      <c r="Q286" s="52"/>
      <c r="R286" s="52"/>
      <c r="S286" s="52"/>
      <c r="T286" s="53"/>
      <c r="U286" s="31"/>
      <c r="V286" s="31"/>
      <c r="W286" s="31"/>
      <c r="X286" s="31"/>
      <c r="Y286" s="31"/>
      <c r="Z286" s="31"/>
      <c r="AA286" s="31"/>
      <c r="AB286" s="31"/>
      <c r="AC286" s="31"/>
      <c r="AD286" s="31"/>
      <c r="AE286" s="31"/>
      <c r="AT286" s="19" t="s">
        <v>149</v>
      </c>
      <c r="AU286" s="19" t="s">
        <v>82</v>
      </c>
    </row>
    <row r="287" spans="1:65" s="2" customFormat="1" ht="29.25">
      <c r="A287" s="31"/>
      <c r="B287" s="32"/>
      <c r="C287" s="31"/>
      <c r="D287" s="150" t="s">
        <v>242</v>
      </c>
      <c r="E287" s="31"/>
      <c r="F287" s="163" t="s">
        <v>706</v>
      </c>
      <c r="G287" s="31"/>
      <c r="H287" s="31"/>
      <c r="I287" s="279"/>
      <c r="J287" s="31"/>
      <c r="K287" s="31"/>
      <c r="L287" s="32"/>
      <c r="M287" s="164"/>
      <c r="N287" s="165"/>
      <c r="O287" s="52"/>
      <c r="P287" s="52"/>
      <c r="Q287" s="52"/>
      <c r="R287" s="52"/>
      <c r="S287" s="52"/>
      <c r="T287" s="53"/>
      <c r="U287" s="31"/>
      <c r="V287" s="31"/>
      <c r="W287" s="31"/>
      <c r="X287" s="31"/>
      <c r="Y287" s="31"/>
      <c r="Z287" s="31"/>
      <c r="AA287" s="31"/>
      <c r="AB287" s="31"/>
      <c r="AC287" s="31"/>
      <c r="AD287" s="31"/>
      <c r="AE287" s="31"/>
      <c r="AT287" s="19" t="s">
        <v>242</v>
      </c>
      <c r="AU287" s="19" t="s">
        <v>82</v>
      </c>
    </row>
    <row r="288" spans="1:65" s="13" customFormat="1">
      <c r="B288" s="149"/>
      <c r="D288" s="150" t="s">
        <v>145</v>
      </c>
      <c r="E288" s="151" t="s">
        <v>3</v>
      </c>
      <c r="F288" s="152" t="s">
        <v>1370</v>
      </c>
      <c r="H288" s="151" t="s">
        <v>3</v>
      </c>
      <c r="I288" s="282"/>
      <c r="L288" s="149"/>
      <c r="M288" s="153"/>
      <c r="N288" s="154"/>
      <c r="O288" s="154"/>
      <c r="P288" s="154"/>
      <c r="Q288" s="154"/>
      <c r="R288" s="154"/>
      <c r="S288" s="154"/>
      <c r="T288" s="155"/>
      <c r="AT288" s="151" t="s">
        <v>145</v>
      </c>
      <c r="AU288" s="151" t="s">
        <v>82</v>
      </c>
      <c r="AV288" s="13" t="s">
        <v>80</v>
      </c>
      <c r="AW288" s="13" t="s">
        <v>34</v>
      </c>
      <c r="AX288" s="13" t="s">
        <v>72</v>
      </c>
      <c r="AY288" s="151" t="s">
        <v>138</v>
      </c>
    </row>
    <row r="289" spans="1:65" s="13" customFormat="1">
      <c r="B289" s="149"/>
      <c r="D289" s="150" t="s">
        <v>145</v>
      </c>
      <c r="E289" s="151" t="s">
        <v>3</v>
      </c>
      <c r="F289" s="152" t="s">
        <v>1289</v>
      </c>
      <c r="H289" s="151" t="s">
        <v>3</v>
      </c>
      <c r="I289" s="282"/>
      <c r="L289" s="149"/>
      <c r="M289" s="153"/>
      <c r="N289" s="154"/>
      <c r="O289" s="154"/>
      <c r="P289" s="154"/>
      <c r="Q289" s="154"/>
      <c r="R289" s="154"/>
      <c r="S289" s="154"/>
      <c r="T289" s="155"/>
      <c r="AT289" s="151" t="s">
        <v>145</v>
      </c>
      <c r="AU289" s="151" t="s">
        <v>82</v>
      </c>
      <c r="AV289" s="13" t="s">
        <v>80</v>
      </c>
      <c r="AW289" s="13" t="s">
        <v>34</v>
      </c>
      <c r="AX289" s="13" t="s">
        <v>72</v>
      </c>
      <c r="AY289" s="151" t="s">
        <v>138</v>
      </c>
    </row>
    <row r="290" spans="1:65" s="14" customFormat="1">
      <c r="B290" s="156"/>
      <c r="D290" s="150" t="s">
        <v>145</v>
      </c>
      <c r="E290" s="157" t="s">
        <v>3</v>
      </c>
      <c r="F290" s="158" t="s">
        <v>1368</v>
      </c>
      <c r="H290" s="159">
        <v>2</v>
      </c>
      <c r="I290" s="280"/>
      <c r="L290" s="156"/>
      <c r="M290" s="160"/>
      <c r="N290" s="161"/>
      <c r="O290" s="161"/>
      <c r="P290" s="161"/>
      <c r="Q290" s="161"/>
      <c r="R290" s="161"/>
      <c r="S290" s="161"/>
      <c r="T290" s="162"/>
      <c r="AT290" s="157" t="s">
        <v>145</v>
      </c>
      <c r="AU290" s="157" t="s">
        <v>82</v>
      </c>
      <c r="AV290" s="14" t="s">
        <v>82</v>
      </c>
      <c r="AW290" s="14" t="s">
        <v>34</v>
      </c>
      <c r="AX290" s="14" t="s">
        <v>72</v>
      </c>
      <c r="AY290" s="157" t="s">
        <v>138</v>
      </c>
    </row>
    <row r="291" spans="1:65" s="2" customFormat="1" ht="24.2" customHeight="1">
      <c r="A291" s="31"/>
      <c r="B291" s="136"/>
      <c r="C291" s="173">
        <v>59</v>
      </c>
      <c r="D291" s="173" t="s">
        <v>164</v>
      </c>
      <c r="E291" s="174" t="s">
        <v>707</v>
      </c>
      <c r="F291" s="175" t="s">
        <v>1333</v>
      </c>
      <c r="G291" s="176" t="s">
        <v>147</v>
      </c>
      <c r="H291" s="177">
        <v>2</v>
      </c>
      <c r="I291" s="281"/>
      <c r="J291" s="178">
        <f>ROUND(I291*H291,2)</f>
        <v>0</v>
      </c>
      <c r="K291" s="175" t="s">
        <v>143</v>
      </c>
      <c r="L291" s="179"/>
      <c r="M291" s="180" t="s">
        <v>3</v>
      </c>
      <c r="N291" s="181" t="s">
        <v>43</v>
      </c>
      <c r="O291" s="145">
        <v>0</v>
      </c>
      <c r="P291" s="145">
        <f>O291*H291</f>
        <v>0</v>
      </c>
      <c r="Q291" s="145">
        <v>0</v>
      </c>
      <c r="R291" s="145">
        <f>Q291*H291</f>
        <v>0</v>
      </c>
      <c r="S291" s="145">
        <v>0</v>
      </c>
      <c r="T291" s="146">
        <f>S291*H291</f>
        <v>0</v>
      </c>
      <c r="U291" s="31"/>
      <c r="V291" s="274"/>
      <c r="W291" s="31"/>
      <c r="X291" s="31"/>
      <c r="Y291" s="31"/>
      <c r="Z291" s="31"/>
      <c r="AA291" s="31"/>
      <c r="AB291" s="31"/>
      <c r="AC291" s="31"/>
      <c r="AD291" s="31"/>
      <c r="AE291" s="31"/>
      <c r="AR291" s="147" t="s">
        <v>224</v>
      </c>
      <c r="AT291" s="147" t="s">
        <v>164</v>
      </c>
      <c r="AU291" s="147" t="s">
        <v>82</v>
      </c>
      <c r="AY291" s="19" t="s">
        <v>138</v>
      </c>
      <c r="BE291" s="148">
        <f>IF(N291="základní",J291,0)</f>
        <v>0</v>
      </c>
      <c r="BF291" s="148">
        <f>IF(N291="snížená",J291,0)</f>
        <v>0</v>
      </c>
      <c r="BG291" s="148">
        <f>IF(N291="zákl. přenesená",J291,0)</f>
        <v>0</v>
      </c>
      <c r="BH291" s="148">
        <f>IF(N291="sníž. přenesená",J291,0)</f>
        <v>0</v>
      </c>
      <c r="BI291" s="148">
        <f>IF(N291="nulová",J291,0)</f>
        <v>0</v>
      </c>
      <c r="BJ291" s="19" t="s">
        <v>80</v>
      </c>
      <c r="BK291" s="148">
        <f>ROUND(I291*H291,2)</f>
        <v>0</v>
      </c>
      <c r="BL291" s="19" t="s">
        <v>200</v>
      </c>
      <c r="BM291" s="147" t="s">
        <v>708</v>
      </c>
    </row>
    <row r="292" spans="1:65" s="2" customFormat="1" ht="24.2" customHeight="1">
      <c r="A292" s="31"/>
      <c r="B292" s="136"/>
      <c r="C292" s="173">
        <v>60</v>
      </c>
      <c r="D292" s="173" t="s">
        <v>164</v>
      </c>
      <c r="E292" s="174" t="s">
        <v>709</v>
      </c>
      <c r="F292" s="175" t="s">
        <v>1334</v>
      </c>
      <c r="G292" s="176" t="s">
        <v>147</v>
      </c>
      <c r="H292" s="177">
        <v>2</v>
      </c>
      <c r="I292" s="281"/>
      <c r="J292" s="178">
        <f>ROUND(I292*H292,2)</f>
        <v>0</v>
      </c>
      <c r="K292" s="175" t="s">
        <v>143</v>
      </c>
      <c r="L292" s="179"/>
      <c r="M292" s="180" t="s">
        <v>3</v>
      </c>
      <c r="N292" s="181" t="s">
        <v>43</v>
      </c>
      <c r="O292" s="145">
        <v>0</v>
      </c>
      <c r="P292" s="145">
        <f>O292*H292</f>
        <v>0</v>
      </c>
      <c r="Q292" s="145">
        <v>0</v>
      </c>
      <c r="R292" s="145">
        <f>Q292*H292</f>
        <v>0</v>
      </c>
      <c r="S292" s="145">
        <v>0</v>
      </c>
      <c r="T292" s="146">
        <f>S292*H292</f>
        <v>0</v>
      </c>
      <c r="U292" s="31"/>
      <c r="V292" s="31"/>
      <c r="W292" s="31"/>
      <c r="X292" s="31"/>
      <c r="Y292" s="31"/>
      <c r="Z292" s="31"/>
      <c r="AA292" s="31"/>
      <c r="AB292" s="31"/>
      <c r="AC292" s="31"/>
      <c r="AD292" s="31"/>
      <c r="AE292" s="31"/>
      <c r="AR292" s="147" t="s">
        <v>224</v>
      </c>
      <c r="AT292" s="147" t="s">
        <v>164</v>
      </c>
      <c r="AU292" s="147" t="s">
        <v>82</v>
      </c>
      <c r="AY292" s="19" t="s">
        <v>138</v>
      </c>
      <c r="BE292" s="148">
        <f>IF(N292="základní",J292,0)</f>
        <v>0</v>
      </c>
      <c r="BF292" s="148">
        <f>IF(N292="snížená",J292,0)</f>
        <v>0</v>
      </c>
      <c r="BG292" s="148">
        <f>IF(N292="zákl. přenesená",J292,0)</f>
        <v>0</v>
      </c>
      <c r="BH292" s="148">
        <f>IF(N292="sníž. přenesená",J292,0)</f>
        <v>0</v>
      </c>
      <c r="BI292" s="148">
        <f>IF(N292="nulová",J292,0)</f>
        <v>0</v>
      </c>
      <c r="BJ292" s="19" t="s">
        <v>80</v>
      </c>
      <c r="BK292" s="148">
        <f>ROUND(I292*H292,2)</f>
        <v>0</v>
      </c>
      <c r="BL292" s="19" t="s">
        <v>200</v>
      </c>
      <c r="BM292" s="147" t="s">
        <v>710</v>
      </c>
    </row>
    <row r="293" spans="1:65" s="2" customFormat="1" ht="37.9" customHeight="1">
      <c r="A293" s="31"/>
      <c r="B293" s="136"/>
      <c r="C293" s="137">
        <v>61</v>
      </c>
      <c r="D293" s="137" t="s">
        <v>141</v>
      </c>
      <c r="E293" s="138" t="s">
        <v>711</v>
      </c>
      <c r="F293" s="139" t="s">
        <v>712</v>
      </c>
      <c r="G293" s="140" t="s">
        <v>147</v>
      </c>
      <c r="H293" s="141">
        <v>2</v>
      </c>
      <c r="I293" s="278"/>
      <c r="J293" s="142">
        <f>ROUND(I293*H293,2)</f>
        <v>0</v>
      </c>
      <c r="K293" s="139" t="s">
        <v>148</v>
      </c>
      <c r="L293" s="32"/>
      <c r="M293" s="143" t="s">
        <v>3</v>
      </c>
      <c r="N293" s="144" t="s">
        <v>43</v>
      </c>
      <c r="O293" s="145">
        <v>0.33900000000000002</v>
      </c>
      <c r="P293" s="145">
        <f>O293*H293</f>
        <v>0.67800000000000005</v>
      </c>
      <c r="Q293" s="145">
        <v>7.5000000000000002E-4</v>
      </c>
      <c r="R293" s="145">
        <f>Q293*H293</f>
        <v>1.5E-3</v>
      </c>
      <c r="S293" s="145">
        <v>0</v>
      </c>
      <c r="T293" s="146">
        <f>S293*H293</f>
        <v>0</v>
      </c>
      <c r="U293" s="31"/>
      <c r="V293" s="31"/>
      <c r="W293" s="31"/>
      <c r="X293" s="31"/>
      <c r="Y293" s="31"/>
      <c r="Z293" s="31"/>
      <c r="AA293" s="31"/>
      <c r="AB293" s="31"/>
      <c r="AC293" s="31"/>
      <c r="AD293" s="31"/>
      <c r="AE293" s="31"/>
      <c r="AR293" s="147" t="s">
        <v>200</v>
      </c>
      <c r="AT293" s="147" t="s">
        <v>141</v>
      </c>
      <c r="AU293" s="147" t="s">
        <v>82</v>
      </c>
      <c r="AY293" s="19" t="s">
        <v>138</v>
      </c>
      <c r="BE293" s="148">
        <f>IF(N293="základní",J293,0)</f>
        <v>0</v>
      </c>
      <c r="BF293" s="148">
        <f>IF(N293="snížená",J293,0)</f>
        <v>0</v>
      </c>
      <c r="BG293" s="148">
        <f>IF(N293="zákl. přenesená",J293,0)</f>
        <v>0</v>
      </c>
      <c r="BH293" s="148">
        <f>IF(N293="sníž. přenesená",J293,0)</f>
        <v>0</v>
      </c>
      <c r="BI293" s="148">
        <f>IF(N293="nulová",J293,0)</f>
        <v>0</v>
      </c>
      <c r="BJ293" s="19" t="s">
        <v>80</v>
      </c>
      <c r="BK293" s="148">
        <f>ROUND(I293*H293,2)</f>
        <v>0</v>
      </c>
      <c r="BL293" s="19" t="s">
        <v>200</v>
      </c>
      <c r="BM293" s="147" t="s">
        <v>713</v>
      </c>
    </row>
    <row r="294" spans="1:65" s="2" customFormat="1" ht="97.5">
      <c r="A294" s="31"/>
      <c r="B294" s="32"/>
      <c r="C294" s="31"/>
      <c r="D294" s="150" t="s">
        <v>149</v>
      </c>
      <c r="E294" s="31"/>
      <c r="F294" s="163" t="s">
        <v>692</v>
      </c>
      <c r="G294" s="31"/>
      <c r="H294" s="31"/>
      <c r="I294" s="279"/>
      <c r="J294" s="31"/>
      <c r="K294" s="31"/>
      <c r="L294" s="32"/>
      <c r="M294" s="164"/>
      <c r="N294" s="165"/>
      <c r="O294" s="52"/>
      <c r="P294" s="52"/>
      <c r="Q294" s="52"/>
      <c r="R294" s="52"/>
      <c r="S294" s="52"/>
      <c r="T294" s="53"/>
      <c r="U294" s="31"/>
      <c r="V294" s="31"/>
      <c r="W294" s="31"/>
      <c r="X294" s="31"/>
      <c r="Y294" s="31"/>
      <c r="Z294" s="31"/>
      <c r="AA294" s="31"/>
      <c r="AB294" s="31"/>
      <c r="AC294" s="31"/>
      <c r="AD294" s="31"/>
      <c r="AE294" s="31"/>
      <c r="AT294" s="19" t="s">
        <v>149</v>
      </c>
      <c r="AU294" s="19" t="s">
        <v>82</v>
      </c>
    </row>
    <row r="295" spans="1:65" s="2" customFormat="1" ht="24.2" customHeight="1">
      <c r="A295" s="31"/>
      <c r="B295" s="136"/>
      <c r="C295" s="137">
        <v>62</v>
      </c>
      <c r="D295" s="137" t="s">
        <v>141</v>
      </c>
      <c r="E295" s="138" t="s">
        <v>714</v>
      </c>
      <c r="F295" s="139" t="s">
        <v>715</v>
      </c>
      <c r="G295" s="140" t="s">
        <v>147</v>
      </c>
      <c r="H295" s="141">
        <f>H293</f>
        <v>2</v>
      </c>
      <c r="I295" s="278"/>
      <c r="J295" s="142">
        <f>ROUND(I295*H295,2)</f>
        <v>0</v>
      </c>
      <c r="K295" s="139" t="s">
        <v>148</v>
      </c>
      <c r="L295" s="32"/>
      <c r="M295" s="143" t="s">
        <v>3</v>
      </c>
      <c r="N295" s="144" t="s">
        <v>43</v>
      </c>
      <c r="O295" s="145">
        <v>0.33900000000000002</v>
      </c>
      <c r="P295" s="145">
        <f>O295*H295</f>
        <v>0.67800000000000005</v>
      </c>
      <c r="Q295" s="145">
        <v>1.2800000000000001E-3</v>
      </c>
      <c r="R295" s="145">
        <f>Q295*H295</f>
        <v>2.5600000000000002E-3</v>
      </c>
      <c r="S295" s="145">
        <v>0</v>
      </c>
      <c r="T295" s="146">
        <f>S295*H295</f>
        <v>0</v>
      </c>
      <c r="U295" s="31"/>
      <c r="V295" s="31"/>
      <c r="W295" s="31"/>
      <c r="X295" s="31"/>
      <c r="Y295" s="31"/>
      <c r="Z295" s="31"/>
      <c r="AA295" s="31"/>
      <c r="AB295" s="31"/>
      <c r="AC295" s="31"/>
      <c r="AD295" s="31"/>
      <c r="AE295" s="31"/>
      <c r="AR295" s="147" t="s">
        <v>200</v>
      </c>
      <c r="AT295" s="147" t="s">
        <v>141</v>
      </c>
      <c r="AU295" s="147" t="s">
        <v>82</v>
      </c>
      <c r="AY295" s="19" t="s">
        <v>138</v>
      </c>
      <c r="BE295" s="148">
        <f>IF(N295="základní",J295,0)</f>
        <v>0</v>
      </c>
      <c r="BF295" s="148">
        <f>IF(N295="snížená",J295,0)</f>
        <v>0</v>
      </c>
      <c r="BG295" s="148">
        <f>IF(N295="zákl. přenesená",J295,0)</f>
        <v>0</v>
      </c>
      <c r="BH295" s="148">
        <f>IF(N295="sníž. přenesená",J295,0)</f>
        <v>0</v>
      </c>
      <c r="BI295" s="148">
        <f>IF(N295="nulová",J295,0)</f>
        <v>0</v>
      </c>
      <c r="BJ295" s="19" t="s">
        <v>80</v>
      </c>
      <c r="BK295" s="148">
        <f>ROUND(I295*H295,2)</f>
        <v>0</v>
      </c>
      <c r="BL295" s="19" t="s">
        <v>200</v>
      </c>
      <c r="BM295" s="147" t="s">
        <v>716</v>
      </c>
    </row>
    <row r="296" spans="1:65" s="2" customFormat="1" ht="97.5">
      <c r="A296" s="31"/>
      <c r="B296" s="32"/>
      <c r="C296" s="31"/>
      <c r="D296" s="150" t="s">
        <v>149</v>
      </c>
      <c r="E296" s="31"/>
      <c r="F296" s="163" t="s">
        <v>692</v>
      </c>
      <c r="G296" s="31"/>
      <c r="H296" s="31"/>
      <c r="I296" s="279"/>
      <c r="J296" s="31"/>
      <c r="K296" s="31"/>
      <c r="L296" s="32"/>
      <c r="M296" s="164"/>
      <c r="N296" s="165"/>
      <c r="O296" s="52"/>
      <c r="P296" s="52"/>
      <c r="Q296" s="52"/>
      <c r="R296" s="52"/>
      <c r="S296" s="52"/>
      <c r="T296" s="53"/>
      <c r="U296" s="31"/>
      <c r="V296" s="31"/>
      <c r="W296" s="31"/>
      <c r="X296" s="31"/>
      <c r="Y296" s="31"/>
      <c r="Z296" s="31"/>
      <c r="AA296" s="31"/>
      <c r="AB296" s="31"/>
      <c r="AC296" s="31"/>
      <c r="AD296" s="31"/>
      <c r="AE296" s="31"/>
      <c r="AT296" s="19" t="s">
        <v>149</v>
      </c>
      <c r="AU296" s="19" t="s">
        <v>82</v>
      </c>
    </row>
    <row r="297" spans="1:65" s="2" customFormat="1" ht="37.9" customHeight="1">
      <c r="A297" s="31"/>
      <c r="B297" s="136"/>
      <c r="C297" s="137">
        <v>63</v>
      </c>
      <c r="D297" s="137" t="s">
        <v>141</v>
      </c>
      <c r="E297" s="138" t="s">
        <v>717</v>
      </c>
      <c r="F297" s="139" t="s">
        <v>718</v>
      </c>
      <c r="G297" s="140" t="s">
        <v>308</v>
      </c>
      <c r="H297" s="141">
        <f>SUM(J223:J295)/100</f>
        <v>0</v>
      </c>
      <c r="I297" s="278"/>
      <c r="J297" s="142">
        <f>ROUND(I297*H297,2)</f>
        <v>0</v>
      </c>
      <c r="K297" s="139" t="s">
        <v>148</v>
      </c>
      <c r="L297" s="32"/>
      <c r="M297" s="143" t="s">
        <v>3</v>
      </c>
      <c r="N297" s="144" t="s">
        <v>43</v>
      </c>
      <c r="O297" s="145">
        <v>0</v>
      </c>
      <c r="P297" s="145">
        <f>O297*H297</f>
        <v>0</v>
      </c>
      <c r="Q297" s="145">
        <v>0</v>
      </c>
      <c r="R297" s="145">
        <f>Q297*H297</f>
        <v>0</v>
      </c>
      <c r="S297" s="145">
        <v>0</v>
      </c>
      <c r="T297" s="146">
        <f>S297*H297</f>
        <v>0</v>
      </c>
      <c r="U297" s="31"/>
      <c r="V297" s="31"/>
      <c r="W297" s="31"/>
      <c r="X297" s="31"/>
      <c r="Y297" s="31"/>
      <c r="Z297" s="31"/>
      <c r="AA297" s="31"/>
      <c r="AB297" s="31"/>
      <c r="AC297" s="31"/>
      <c r="AD297" s="31"/>
      <c r="AE297" s="31"/>
      <c r="AR297" s="147" t="s">
        <v>200</v>
      </c>
      <c r="AT297" s="147" t="s">
        <v>141</v>
      </c>
      <c r="AU297" s="147" t="s">
        <v>82</v>
      </c>
      <c r="AY297" s="19" t="s">
        <v>138</v>
      </c>
      <c r="BE297" s="148">
        <f>IF(N297="základní",J297,0)</f>
        <v>0</v>
      </c>
      <c r="BF297" s="148">
        <f>IF(N297="snížená",J297,0)</f>
        <v>0</v>
      </c>
      <c r="BG297" s="148">
        <f>IF(N297="zákl. přenesená",J297,0)</f>
        <v>0</v>
      </c>
      <c r="BH297" s="148">
        <f>IF(N297="sníž. přenesená",J297,0)</f>
        <v>0</v>
      </c>
      <c r="BI297" s="148">
        <f>IF(N297="nulová",J297,0)</f>
        <v>0</v>
      </c>
      <c r="BJ297" s="19" t="s">
        <v>80</v>
      </c>
      <c r="BK297" s="148">
        <f>ROUND(I297*H297,2)</f>
        <v>0</v>
      </c>
      <c r="BL297" s="19" t="s">
        <v>200</v>
      </c>
      <c r="BM297" s="147" t="s">
        <v>719</v>
      </c>
    </row>
    <row r="298" spans="1:65" s="2" customFormat="1" ht="126.75">
      <c r="A298" s="31"/>
      <c r="B298" s="32"/>
      <c r="C298" s="31"/>
      <c r="D298" s="150" t="s">
        <v>149</v>
      </c>
      <c r="E298" s="31"/>
      <c r="F298" s="163" t="s">
        <v>418</v>
      </c>
      <c r="G298" s="31"/>
      <c r="H298" s="31"/>
      <c r="I298" s="279"/>
      <c r="J298" s="31"/>
      <c r="K298" s="31"/>
      <c r="L298" s="32"/>
      <c r="M298" s="164"/>
      <c r="N298" s="165"/>
      <c r="O298" s="52"/>
      <c r="P298" s="52"/>
      <c r="Q298" s="52"/>
      <c r="R298" s="52"/>
      <c r="S298" s="52"/>
      <c r="T298" s="53"/>
      <c r="U298" s="31"/>
      <c r="V298" s="31"/>
      <c r="W298" s="31"/>
      <c r="X298" s="31"/>
      <c r="Y298" s="31"/>
      <c r="Z298" s="31"/>
      <c r="AA298" s="31"/>
      <c r="AB298" s="31"/>
      <c r="AC298" s="31"/>
      <c r="AD298" s="31"/>
      <c r="AE298" s="31"/>
      <c r="AT298" s="19" t="s">
        <v>149</v>
      </c>
      <c r="AU298" s="19" t="s">
        <v>82</v>
      </c>
    </row>
    <row r="299" spans="1:65" s="2" customFormat="1" ht="49.15" customHeight="1">
      <c r="A299" s="31"/>
      <c r="B299" s="136"/>
      <c r="C299" s="137">
        <v>64</v>
      </c>
      <c r="D299" s="137" t="s">
        <v>141</v>
      </c>
      <c r="E299" s="138" t="s">
        <v>720</v>
      </c>
      <c r="F299" s="139" t="s">
        <v>721</v>
      </c>
      <c r="G299" s="140" t="s">
        <v>308</v>
      </c>
      <c r="H299" s="141">
        <f>H297</f>
        <v>0</v>
      </c>
      <c r="I299" s="278"/>
      <c r="J299" s="142">
        <f>ROUND(I299*H299,2)</f>
        <v>0</v>
      </c>
      <c r="K299" s="139" t="s">
        <v>148</v>
      </c>
      <c r="L299" s="32"/>
      <c r="M299" s="143" t="s">
        <v>3</v>
      </c>
      <c r="N299" s="144" t="s">
        <v>43</v>
      </c>
      <c r="O299" s="145">
        <v>0</v>
      </c>
      <c r="P299" s="145">
        <f>O299*H299</f>
        <v>0</v>
      </c>
      <c r="Q299" s="145">
        <v>0</v>
      </c>
      <c r="R299" s="145">
        <f>Q299*H299</f>
        <v>0</v>
      </c>
      <c r="S299" s="145">
        <v>0</v>
      </c>
      <c r="T299" s="146">
        <f>S299*H299</f>
        <v>0</v>
      </c>
      <c r="U299" s="31"/>
      <c r="V299" s="31"/>
      <c r="W299" s="31"/>
      <c r="X299" s="31"/>
      <c r="Y299" s="31"/>
      <c r="Z299" s="31"/>
      <c r="AA299" s="31"/>
      <c r="AB299" s="31"/>
      <c r="AC299" s="31"/>
      <c r="AD299" s="31"/>
      <c r="AE299" s="31"/>
      <c r="AR299" s="147" t="s">
        <v>200</v>
      </c>
      <c r="AT299" s="147" t="s">
        <v>141</v>
      </c>
      <c r="AU299" s="147" t="s">
        <v>82</v>
      </c>
      <c r="AY299" s="19" t="s">
        <v>138</v>
      </c>
      <c r="BE299" s="148">
        <f>IF(N299="základní",J299,0)</f>
        <v>0</v>
      </c>
      <c r="BF299" s="148">
        <f>IF(N299="snížená",J299,0)</f>
        <v>0</v>
      </c>
      <c r="BG299" s="148">
        <f>IF(N299="zákl. přenesená",J299,0)</f>
        <v>0</v>
      </c>
      <c r="BH299" s="148">
        <f>IF(N299="sníž. přenesená",J299,0)</f>
        <v>0</v>
      </c>
      <c r="BI299" s="148">
        <f>IF(N299="nulová",J299,0)</f>
        <v>0</v>
      </c>
      <c r="BJ299" s="19" t="s">
        <v>80</v>
      </c>
      <c r="BK299" s="148">
        <f>ROUND(I299*H299,2)</f>
        <v>0</v>
      </c>
      <c r="BL299" s="19" t="s">
        <v>200</v>
      </c>
      <c r="BM299" s="147" t="s">
        <v>722</v>
      </c>
    </row>
    <row r="300" spans="1:65" s="2" customFormat="1" ht="126.75">
      <c r="A300" s="31"/>
      <c r="B300" s="32"/>
      <c r="C300" s="31"/>
      <c r="D300" s="150" t="s">
        <v>149</v>
      </c>
      <c r="E300" s="31"/>
      <c r="F300" s="163" t="s">
        <v>418</v>
      </c>
      <c r="G300" s="31"/>
      <c r="H300" s="31"/>
      <c r="I300" s="279"/>
      <c r="J300" s="31"/>
      <c r="K300" s="31"/>
      <c r="L300" s="32"/>
      <c r="M300" s="164"/>
      <c r="N300" s="165"/>
      <c r="O300" s="52"/>
      <c r="P300" s="52"/>
      <c r="Q300" s="52"/>
      <c r="R300" s="52"/>
      <c r="S300" s="52"/>
      <c r="T300" s="53"/>
      <c r="U300" s="31"/>
      <c r="V300" s="31"/>
      <c r="W300" s="31"/>
      <c r="X300" s="31"/>
      <c r="Y300" s="31"/>
      <c r="Z300" s="31"/>
      <c r="AA300" s="31"/>
      <c r="AB300" s="31"/>
      <c r="AC300" s="31"/>
      <c r="AD300" s="31"/>
      <c r="AE300" s="31"/>
      <c r="AT300" s="19" t="s">
        <v>149</v>
      </c>
      <c r="AU300" s="19" t="s">
        <v>82</v>
      </c>
    </row>
    <row r="301" spans="1:65" s="12" customFormat="1" ht="22.9" customHeight="1">
      <c r="B301" s="124"/>
      <c r="D301" s="125" t="s">
        <v>71</v>
      </c>
      <c r="E301" s="134" t="s">
        <v>723</v>
      </c>
      <c r="F301" s="134" t="s">
        <v>724</v>
      </c>
      <c r="I301" s="285"/>
      <c r="J301" s="135">
        <f>BK301</f>
        <v>0</v>
      </c>
      <c r="L301" s="124"/>
      <c r="M301" s="128"/>
      <c r="N301" s="129"/>
      <c r="O301" s="129"/>
      <c r="P301" s="130">
        <f>SUM(P302:P313)</f>
        <v>18.600000000000001</v>
      </c>
      <c r="Q301" s="129"/>
      <c r="R301" s="130">
        <f>SUM(R302:R313)</f>
        <v>5.91E-2</v>
      </c>
      <c r="S301" s="129"/>
      <c r="T301" s="131">
        <f>SUM(T302:T313)</f>
        <v>0</v>
      </c>
      <c r="AR301" s="125" t="s">
        <v>82</v>
      </c>
      <c r="AT301" s="132" t="s">
        <v>71</v>
      </c>
      <c r="AU301" s="132" t="s">
        <v>80</v>
      </c>
      <c r="AY301" s="125" t="s">
        <v>138</v>
      </c>
      <c r="BK301" s="133">
        <f>SUM(BK302:BK313)</f>
        <v>0</v>
      </c>
    </row>
    <row r="302" spans="1:65" s="2" customFormat="1" ht="37.9" customHeight="1">
      <c r="A302" s="31"/>
      <c r="B302" s="136"/>
      <c r="C302" s="137">
        <v>65</v>
      </c>
      <c r="D302" s="137" t="s">
        <v>141</v>
      </c>
      <c r="E302" s="138" t="s">
        <v>725</v>
      </c>
      <c r="F302" s="139" t="s">
        <v>726</v>
      </c>
      <c r="G302" s="140" t="s">
        <v>578</v>
      </c>
      <c r="H302" s="141">
        <f>H307</f>
        <v>6</v>
      </c>
      <c r="I302" s="278"/>
      <c r="J302" s="142">
        <f>ROUND(I302*H302,2)</f>
        <v>0</v>
      </c>
      <c r="K302" s="139" t="s">
        <v>148</v>
      </c>
      <c r="L302" s="32"/>
      <c r="M302" s="143" t="s">
        <v>3</v>
      </c>
      <c r="N302" s="144" t="s">
        <v>43</v>
      </c>
      <c r="O302" s="145">
        <v>2.5</v>
      </c>
      <c r="P302" s="145">
        <f>O302*H302</f>
        <v>15</v>
      </c>
      <c r="Q302" s="145">
        <v>9.1999999999999998E-3</v>
      </c>
      <c r="R302" s="145">
        <f>Q302*H302</f>
        <v>5.5199999999999999E-2</v>
      </c>
      <c r="S302" s="145">
        <v>0</v>
      </c>
      <c r="T302" s="146">
        <f>S302*H302</f>
        <v>0</v>
      </c>
      <c r="U302" s="31"/>
      <c r="V302" s="31"/>
      <c r="W302" s="31"/>
      <c r="X302" s="31"/>
      <c r="Y302" s="31"/>
      <c r="Z302" s="31"/>
      <c r="AA302" s="31"/>
      <c r="AB302" s="31"/>
      <c r="AC302" s="31"/>
      <c r="AD302" s="31"/>
      <c r="AE302" s="31"/>
      <c r="AR302" s="147" t="s">
        <v>200</v>
      </c>
      <c r="AT302" s="147" t="s">
        <v>141</v>
      </c>
      <c r="AU302" s="147" t="s">
        <v>82</v>
      </c>
      <c r="AY302" s="19" t="s">
        <v>138</v>
      </c>
      <c r="BE302" s="148">
        <f>IF(N302="základní",J302,0)</f>
        <v>0</v>
      </c>
      <c r="BF302" s="148">
        <f>IF(N302="snížená",J302,0)</f>
        <v>0</v>
      </c>
      <c r="BG302" s="148">
        <f>IF(N302="zákl. přenesená",J302,0)</f>
        <v>0</v>
      </c>
      <c r="BH302" s="148">
        <f>IF(N302="sníž. přenesená",J302,0)</f>
        <v>0</v>
      </c>
      <c r="BI302" s="148">
        <f>IF(N302="nulová",J302,0)</f>
        <v>0</v>
      </c>
      <c r="BJ302" s="19" t="s">
        <v>80</v>
      </c>
      <c r="BK302" s="148">
        <f>ROUND(I302*H302,2)</f>
        <v>0</v>
      </c>
      <c r="BL302" s="19" t="s">
        <v>200</v>
      </c>
      <c r="BM302" s="147" t="s">
        <v>727</v>
      </c>
    </row>
    <row r="303" spans="1:65" s="2" customFormat="1" ht="78">
      <c r="A303" s="31"/>
      <c r="B303" s="32"/>
      <c r="C303" s="31"/>
      <c r="D303" s="150" t="s">
        <v>149</v>
      </c>
      <c r="E303" s="31"/>
      <c r="F303" s="163" t="s">
        <v>728</v>
      </c>
      <c r="G303" s="31"/>
      <c r="H303" s="31"/>
      <c r="I303" s="279"/>
      <c r="J303" s="31"/>
      <c r="K303" s="31"/>
      <c r="L303" s="32"/>
      <c r="M303" s="164"/>
      <c r="N303" s="165"/>
      <c r="O303" s="52"/>
      <c r="P303" s="52"/>
      <c r="Q303" s="52"/>
      <c r="R303" s="52"/>
      <c r="S303" s="52"/>
      <c r="T303" s="53"/>
      <c r="U303" s="31"/>
      <c r="V303" s="31"/>
      <c r="W303" s="31"/>
      <c r="X303" s="31"/>
      <c r="Y303" s="31"/>
      <c r="Z303" s="31"/>
      <c r="AA303" s="31"/>
      <c r="AB303" s="31"/>
      <c r="AC303" s="31"/>
      <c r="AD303" s="31"/>
      <c r="AE303" s="31"/>
      <c r="AT303" s="19" t="s">
        <v>149</v>
      </c>
      <c r="AU303" s="19" t="s">
        <v>82</v>
      </c>
    </row>
    <row r="304" spans="1:65" s="2" customFormat="1" ht="39">
      <c r="A304" s="31"/>
      <c r="B304" s="32"/>
      <c r="C304" s="31"/>
      <c r="D304" s="150" t="s">
        <v>242</v>
      </c>
      <c r="E304" s="31"/>
      <c r="F304" s="163" t="s">
        <v>729</v>
      </c>
      <c r="G304" s="31"/>
      <c r="H304" s="31"/>
      <c r="I304" s="279"/>
      <c r="J304" s="31"/>
      <c r="K304" s="31"/>
      <c r="L304" s="32"/>
      <c r="M304" s="164"/>
      <c r="N304" s="165"/>
      <c r="O304" s="52"/>
      <c r="P304" s="52"/>
      <c r="Q304" s="52"/>
      <c r="R304" s="52"/>
      <c r="S304" s="52"/>
      <c r="T304" s="53"/>
      <c r="U304" s="31"/>
      <c r="V304" s="31"/>
      <c r="W304" s="31"/>
      <c r="X304" s="31"/>
      <c r="Y304" s="31"/>
      <c r="Z304" s="31"/>
      <c r="AA304" s="31"/>
      <c r="AB304" s="31"/>
      <c r="AC304" s="31"/>
      <c r="AD304" s="31"/>
      <c r="AE304" s="31"/>
      <c r="AT304" s="19" t="s">
        <v>242</v>
      </c>
      <c r="AU304" s="19" t="s">
        <v>82</v>
      </c>
    </row>
    <row r="305" spans="1:65" s="13" customFormat="1">
      <c r="B305" s="149"/>
      <c r="D305" s="150" t="s">
        <v>145</v>
      </c>
      <c r="E305" s="151" t="s">
        <v>3</v>
      </c>
      <c r="F305" s="152" t="s">
        <v>1370</v>
      </c>
      <c r="H305" s="151" t="s">
        <v>3</v>
      </c>
      <c r="I305" s="282"/>
      <c r="L305" s="149"/>
      <c r="M305" s="153"/>
      <c r="N305" s="154"/>
      <c r="O305" s="154"/>
      <c r="P305" s="154"/>
      <c r="Q305" s="154"/>
      <c r="R305" s="154"/>
      <c r="S305" s="154"/>
      <c r="T305" s="155"/>
      <c r="AT305" s="151" t="s">
        <v>145</v>
      </c>
      <c r="AU305" s="151" t="s">
        <v>82</v>
      </c>
      <c r="AV305" s="13" t="s">
        <v>80</v>
      </c>
      <c r="AW305" s="13" t="s">
        <v>34</v>
      </c>
      <c r="AX305" s="13" t="s">
        <v>72</v>
      </c>
      <c r="AY305" s="151" t="s">
        <v>138</v>
      </c>
    </row>
    <row r="306" spans="1:65" s="13" customFormat="1">
      <c r="B306" s="149"/>
      <c r="D306" s="150" t="s">
        <v>145</v>
      </c>
      <c r="E306" s="151" t="s">
        <v>3</v>
      </c>
      <c r="F306" s="152" t="s">
        <v>1289</v>
      </c>
      <c r="H306" s="151" t="s">
        <v>3</v>
      </c>
      <c r="I306" s="282"/>
      <c r="L306" s="149"/>
      <c r="M306" s="153"/>
      <c r="N306" s="154"/>
      <c r="O306" s="154"/>
      <c r="P306" s="154"/>
      <c r="Q306" s="154"/>
      <c r="R306" s="154"/>
      <c r="S306" s="154"/>
      <c r="T306" s="155"/>
      <c r="AT306" s="151" t="s">
        <v>145</v>
      </c>
      <c r="AU306" s="151" t="s">
        <v>82</v>
      </c>
      <c r="AV306" s="13" t="s">
        <v>80</v>
      </c>
      <c r="AW306" s="13" t="s">
        <v>34</v>
      </c>
      <c r="AX306" s="13" t="s">
        <v>72</v>
      </c>
      <c r="AY306" s="151" t="s">
        <v>138</v>
      </c>
    </row>
    <row r="307" spans="1:65" s="14" customFormat="1">
      <c r="B307" s="156"/>
      <c r="D307" s="150" t="s">
        <v>145</v>
      </c>
      <c r="E307" s="157" t="s">
        <v>3</v>
      </c>
      <c r="F307" s="158" t="s">
        <v>1312</v>
      </c>
      <c r="H307" s="159">
        <v>6</v>
      </c>
      <c r="I307" s="280"/>
      <c r="L307" s="156"/>
      <c r="M307" s="160"/>
      <c r="N307" s="161"/>
      <c r="O307" s="161"/>
      <c r="P307" s="161"/>
      <c r="Q307" s="161"/>
      <c r="R307" s="161"/>
      <c r="S307" s="161"/>
      <c r="T307" s="162"/>
      <c r="AT307" s="157" t="s">
        <v>145</v>
      </c>
      <c r="AU307" s="157" t="s">
        <v>82</v>
      </c>
      <c r="AV307" s="14" t="s">
        <v>82</v>
      </c>
      <c r="AW307" s="14" t="s">
        <v>34</v>
      </c>
      <c r="AX307" s="14" t="s">
        <v>72</v>
      </c>
      <c r="AY307" s="157" t="s">
        <v>138</v>
      </c>
    </row>
    <row r="308" spans="1:65" s="2" customFormat="1" ht="24.2" customHeight="1">
      <c r="A308" s="31"/>
      <c r="B308" s="136"/>
      <c r="C308" s="137">
        <v>66</v>
      </c>
      <c r="D308" s="137" t="s">
        <v>141</v>
      </c>
      <c r="E308" s="138" t="s">
        <v>730</v>
      </c>
      <c r="F308" s="139" t="s">
        <v>731</v>
      </c>
      <c r="G308" s="140" t="s">
        <v>578</v>
      </c>
      <c r="H308" s="141">
        <f>H302</f>
        <v>6</v>
      </c>
      <c r="I308" s="278"/>
      <c r="J308" s="142">
        <f>ROUND(I308*H308,2)</f>
        <v>0</v>
      </c>
      <c r="K308" s="139" t="s">
        <v>148</v>
      </c>
      <c r="L308" s="32"/>
      <c r="M308" s="143" t="s">
        <v>3</v>
      </c>
      <c r="N308" s="144" t="s">
        <v>43</v>
      </c>
      <c r="O308" s="145">
        <v>0.1</v>
      </c>
      <c r="P308" s="145">
        <f>O308*H308</f>
        <v>0.60000000000000009</v>
      </c>
      <c r="Q308" s="145">
        <v>1.4999999999999999E-4</v>
      </c>
      <c r="R308" s="145">
        <f>Q308*H308</f>
        <v>8.9999999999999998E-4</v>
      </c>
      <c r="S308" s="145">
        <v>0</v>
      </c>
      <c r="T308" s="146">
        <f>S308*H308</f>
        <v>0</v>
      </c>
      <c r="U308" s="31"/>
      <c r="V308" s="31"/>
      <c r="W308" s="31"/>
      <c r="X308" s="31"/>
      <c r="Y308" s="31"/>
      <c r="Z308" s="31"/>
      <c r="AA308" s="31"/>
      <c r="AB308" s="31"/>
      <c r="AC308" s="31"/>
      <c r="AD308" s="31"/>
      <c r="AE308" s="31"/>
      <c r="AR308" s="147" t="s">
        <v>200</v>
      </c>
      <c r="AT308" s="147" t="s">
        <v>141</v>
      </c>
      <c r="AU308" s="147" t="s">
        <v>82</v>
      </c>
      <c r="AY308" s="19" t="s">
        <v>138</v>
      </c>
      <c r="BE308" s="148">
        <f>IF(N308="základní",J308,0)</f>
        <v>0</v>
      </c>
      <c r="BF308" s="148">
        <f>IF(N308="snížená",J308,0)</f>
        <v>0</v>
      </c>
      <c r="BG308" s="148">
        <f>IF(N308="zákl. přenesená",J308,0)</f>
        <v>0</v>
      </c>
      <c r="BH308" s="148">
        <f>IF(N308="sníž. přenesená",J308,0)</f>
        <v>0</v>
      </c>
      <c r="BI308" s="148">
        <f>IF(N308="nulová",J308,0)</f>
        <v>0</v>
      </c>
      <c r="BJ308" s="19" t="s">
        <v>80</v>
      </c>
      <c r="BK308" s="148">
        <f>ROUND(I308*H308,2)</f>
        <v>0</v>
      </c>
      <c r="BL308" s="19" t="s">
        <v>200</v>
      </c>
      <c r="BM308" s="147" t="s">
        <v>732</v>
      </c>
    </row>
    <row r="309" spans="1:65" s="2" customFormat="1" ht="24.2" customHeight="1">
      <c r="A309" s="31"/>
      <c r="B309" s="136"/>
      <c r="C309" s="137">
        <v>67</v>
      </c>
      <c r="D309" s="137" t="s">
        <v>141</v>
      </c>
      <c r="E309" s="138" t="s">
        <v>733</v>
      </c>
      <c r="F309" s="139" t="s">
        <v>734</v>
      </c>
      <c r="G309" s="140" t="s">
        <v>578</v>
      </c>
      <c r="H309" s="141">
        <f>H302</f>
        <v>6</v>
      </c>
      <c r="I309" s="278"/>
      <c r="J309" s="142">
        <f>ROUND(I309*H309,2)</f>
        <v>0</v>
      </c>
      <c r="K309" s="139" t="s">
        <v>148</v>
      </c>
      <c r="L309" s="32"/>
      <c r="M309" s="143" t="s">
        <v>3</v>
      </c>
      <c r="N309" s="144" t="s">
        <v>43</v>
      </c>
      <c r="O309" s="145">
        <v>0.5</v>
      </c>
      <c r="P309" s="145">
        <f>O309*H309</f>
        <v>3</v>
      </c>
      <c r="Q309" s="145">
        <v>5.0000000000000001E-4</v>
      </c>
      <c r="R309" s="145">
        <f>Q309*H309</f>
        <v>3.0000000000000001E-3</v>
      </c>
      <c r="S309" s="145">
        <v>0</v>
      </c>
      <c r="T309" s="146">
        <f>S309*H309</f>
        <v>0</v>
      </c>
      <c r="U309" s="31"/>
      <c r="V309" s="31"/>
      <c r="W309" s="31"/>
      <c r="X309" s="31"/>
      <c r="Y309" s="31"/>
      <c r="Z309" s="31"/>
      <c r="AA309" s="31"/>
      <c r="AB309" s="31"/>
      <c r="AC309" s="31"/>
      <c r="AD309" s="31"/>
      <c r="AE309" s="31"/>
      <c r="AR309" s="147" t="s">
        <v>200</v>
      </c>
      <c r="AT309" s="147" t="s">
        <v>141</v>
      </c>
      <c r="AU309" s="147" t="s">
        <v>82</v>
      </c>
      <c r="AY309" s="19" t="s">
        <v>138</v>
      </c>
      <c r="BE309" s="148">
        <f>IF(N309="základní",J309,0)</f>
        <v>0</v>
      </c>
      <c r="BF309" s="148">
        <f>IF(N309="snížená",J309,0)</f>
        <v>0</v>
      </c>
      <c r="BG309" s="148">
        <f>IF(N309="zákl. přenesená",J309,0)</f>
        <v>0</v>
      </c>
      <c r="BH309" s="148">
        <f>IF(N309="sníž. přenesená",J309,0)</f>
        <v>0</v>
      </c>
      <c r="BI309" s="148">
        <f>IF(N309="nulová",J309,0)</f>
        <v>0</v>
      </c>
      <c r="BJ309" s="19" t="s">
        <v>80</v>
      </c>
      <c r="BK309" s="148">
        <f>ROUND(I309*H309,2)</f>
        <v>0</v>
      </c>
      <c r="BL309" s="19" t="s">
        <v>200</v>
      </c>
      <c r="BM309" s="147" t="s">
        <v>735</v>
      </c>
    </row>
    <row r="310" spans="1:65" s="2" customFormat="1" ht="37.9" customHeight="1">
      <c r="A310" s="31"/>
      <c r="B310" s="136"/>
      <c r="C310" s="137">
        <v>68</v>
      </c>
      <c r="D310" s="137" t="s">
        <v>141</v>
      </c>
      <c r="E310" s="138" t="s">
        <v>736</v>
      </c>
      <c r="F310" s="139" t="s">
        <v>737</v>
      </c>
      <c r="G310" s="140" t="s">
        <v>308</v>
      </c>
      <c r="H310" s="141">
        <f>SUM(J302:J309)/100</f>
        <v>0</v>
      </c>
      <c r="I310" s="278"/>
      <c r="J310" s="142">
        <f>ROUND(I310*H310,2)</f>
        <v>0</v>
      </c>
      <c r="K310" s="139" t="s">
        <v>148</v>
      </c>
      <c r="L310" s="32"/>
      <c r="M310" s="143" t="s">
        <v>3</v>
      </c>
      <c r="N310" s="144" t="s">
        <v>43</v>
      </c>
      <c r="O310" s="145">
        <v>0</v>
      </c>
      <c r="P310" s="145">
        <f>O310*H310</f>
        <v>0</v>
      </c>
      <c r="Q310" s="145">
        <v>0</v>
      </c>
      <c r="R310" s="145">
        <f>Q310*H310</f>
        <v>0</v>
      </c>
      <c r="S310" s="145">
        <v>0</v>
      </c>
      <c r="T310" s="146">
        <f>S310*H310</f>
        <v>0</v>
      </c>
      <c r="U310" s="31"/>
      <c r="V310" s="31"/>
      <c r="W310" s="31"/>
      <c r="X310" s="31"/>
      <c r="Y310" s="31"/>
      <c r="Z310" s="31"/>
      <c r="AA310" s="31"/>
      <c r="AB310" s="31"/>
      <c r="AC310" s="31"/>
      <c r="AD310" s="31"/>
      <c r="AE310" s="31"/>
      <c r="AR310" s="147" t="s">
        <v>200</v>
      </c>
      <c r="AT310" s="147" t="s">
        <v>141</v>
      </c>
      <c r="AU310" s="147" t="s">
        <v>82</v>
      </c>
      <c r="AY310" s="19" t="s">
        <v>138</v>
      </c>
      <c r="BE310" s="148">
        <f>IF(N310="základní",J310,0)</f>
        <v>0</v>
      </c>
      <c r="BF310" s="148">
        <f>IF(N310="snížená",J310,0)</f>
        <v>0</v>
      </c>
      <c r="BG310" s="148">
        <f>IF(N310="zákl. přenesená",J310,0)</f>
        <v>0</v>
      </c>
      <c r="BH310" s="148">
        <f>IF(N310="sníž. přenesená",J310,0)</f>
        <v>0</v>
      </c>
      <c r="BI310" s="148">
        <f>IF(N310="nulová",J310,0)</f>
        <v>0</v>
      </c>
      <c r="BJ310" s="19" t="s">
        <v>80</v>
      </c>
      <c r="BK310" s="148">
        <f>ROUND(I310*H310,2)</f>
        <v>0</v>
      </c>
      <c r="BL310" s="19" t="s">
        <v>200</v>
      </c>
      <c r="BM310" s="147" t="s">
        <v>738</v>
      </c>
    </row>
    <row r="311" spans="1:65" s="2" customFormat="1" ht="126.75">
      <c r="A311" s="31"/>
      <c r="B311" s="32"/>
      <c r="C311" s="31"/>
      <c r="D311" s="150" t="s">
        <v>149</v>
      </c>
      <c r="E311" s="31"/>
      <c r="F311" s="163" t="s">
        <v>351</v>
      </c>
      <c r="G311" s="31"/>
      <c r="H311" s="31"/>
      <c r="I311" s="279"/>
      <c r="J311" s="31"/>
      <c r="K311" s="31"/>
      <c r="L311" s="32"/>
      <c r="M311" s="164"/>
      <c r="N311" s="165"/>
      <c r="O311" s="52"/>
      <c r="P311" s="52"/>
      <c r="Q311" s="52"/>
      <c r="R311" s="52"/>
      <c r="S311" s="52"/>
      <c r="T311" s="53"/>
      <c r="U311" s="31"/>
      <c r="V311" s="31"/>
      <c r="W311" s="31"/>
      <c r="X311" s="31"/>
      <c r="Y311" s="31"/>
      <c r="Z311" s="31"/>
      <c r="AA311" s="31"/>
      <c r="AB311" s="31"/>
      <c r="AC311" s="31"/>
      <c r="AD311" s="31"/>
      <c r="AE311" s="31"/>
      <c r="AT311" s="19" t="s">
        <v>149</v>
      </c>
      <c r="AU311" s="19" t="s">
        <v>82</v>
      </c>
    </row>
    <row r="312" spans="1:65" s="2" customFormat="1" ht="49.15" customHeight="1">
      <c r="A312" s="31"/>
      <c r="B312" s="136"/>
      <c r="C312" s="137">
        <v>69</v>
      </c>
      <c r="D312" s="137" t="s">
        <v>141</v>
      </c>
      <c r="E312" s="138" t="s">
        <v>739</v>
      </c>
      <c r="F312" s="139" t="s">
        <v>740</v>
      </c>
      <c r="G312" s="140" t="s">
        <v>308</v>
      </c>
      <c r="H312" s="141">
        <f>H310</f>
        <v>0</v>
      </c>
      <c r="I312" s="278"/>
      <c r="J312" s="142">
        <f>ROUND(I312*H312,2)</f>
        <v>0</v>
      </c>
      <c r="K312" s="139" t="s">
        <v>148</v>
      </c>
      <c r="L312" s="32"/>
      <c r="M312" s="143" t="s">
        <v>3</v>
      </c>
      <c r="N312" s="144" t="s">
        <v>43</v>
      </c>
      <c r="O312" s="145">
        <v>0</v>
      </c>
      <c r="P312" s="145">
        <f>O312*H312</f>
        <v>0</v>
      </c>
      <c r="Q312" s="145">
        <v>0</v>
      </c>
      <c r="R312" s="145">
        <f>Q312*H312</f>
        <v>0</v>
      </c>
      <c r="S312" s="145">
        <v>0</v>
      </c>
      <c r="T312" s="146">
        <f>S312*H312</f>
        <v>0</v>
      </c>
      <c r="U312" s="31"/>
      <c r="V312" s="31"/>
      <c r="W312" s="31"/>
      <c r="X312" s="31"/>
      <c r="Y312" s="31"/>
      <c r="Z312" s="31"/>
      <c r="AA312" s="31"/>
      <c r="AB312" s="31"/>
      <c r="AC312" s="31"/>
      <c r="AD312" s="31"/>
      <c r="AE312" s="31"/>
      <c r="AR312" s="147" t="s">
        <v>200</v>
      </c>
      <c r="AT312" s="147" t="s">
        <v>141</v>
      </c>
      <c r="AU312" s="147" t="s">
        <v>82</v>
      </c>
      <c r="AY312" s="19" t="s">
        <v>138</v>
      </c>
      <c r="BE312" s="148">
        <f>IF(N312="základní",J312,0)</f>
        <v>0</v>
      </c>
      <c r="BF312" s="148">
        <f>IF(N312="snížená",J312,0)</f>
        <v>0</v>
      </c>
      <c r="BG312" s="148">
        <f>IF(N312="zákl. přenesená",J312,0)</f>
        <v>0</v>
      </c>
      <c r="BH312" s="148">
        <f>IF(N312="sníž. přenesená",J312,0)</f>
        <v>0</v>
      </c>
      <c r="BI312" s="148">
        <f>IF(N312="nulová",J312,0)</f>
        <v>0</v>
      </c>
      <c r="BJ312" s="19" t="s">
        <v>80</v>
      </c>
      <c r="BK312" s="148">
        <f>ROUND(I312*H312,2)</f>
        <v>0</v>
      </c>
      <c r="BL312" s="19" t="s">
        <v>200</v>
      </c>
      <c r="BM312" s="147" t="s">
        <v>741</v>
      </c>
    </row>
    <row r="313" spans="1:65" s="2" customFormat="1" ht="126.75">
      <c r="A313" s="31"/>
      <c r="B313" s="32"/>
      <c r="C313" s="31"/>
      <c r="D313" s="150" t="s">
        <v>149</v>
      </c>
      <c r="E313" s="31"/>
      <c r="F313" s="163" t="s">
        <v>351</v>
      </c>
      <c r="G313" s="31"/>
      <c r="H313" s="31"/>
      <c r="I313" s="279"/>
      <c r="J313" s="31"/>
      <c r="K313" s="31"/>
      <c r="L313" s="32"/>
      <c r="M313" s="164"/>
      <c r="N313" s="165"/>
      <c r="O313" s="52"/>
      <c r="P313" s="52"/>
      <c r="Q313" s="52"/>
      <c r="R313" s="52"/>
      <c r="S313" s="52"/>
      <c r="T313" s="53"/>
      <c r="U313" s="31"/>
      <c r="V313" s="31"/>
      <c r="W313" s="31"/>
      <c r="X313" s="31"/>
      <c r="Y313" s="31"/>
      <c r="Z313" s="31"/>
      <c r="AA313" s="31"/>
      <c r="AB313" s="31"/>
      <c r="AC313" s="31"/>
      <c r="AD313" s="31"/>
      <c r="AE313" s="31"/>
      <c r="AT313" s="19" t="s">
        <v>149</v>
      </c>
      <c r="AU313" s="19" t="s">
        <v>82</v>
      </c>
    </row>
    <row r="314" spans="1:65" s="12" customFormat="1" ht="25.9" customHeight="1">
      <c r="B314" s="124"/>
      <c r="D314" s="125" t="s">
        <v>71</v>
      </c>
      <c r="E314" s="126" t="s">
        <v>742</v>
      </c>
      <c r="F314" s="126" t="s">
        <v>743</v>
      </c>
      <c r="J314" s="127">
        <f>BK314</f>
        <v>0</v>
      </c>
      <c r="L314" s="124"/>
      <c r="M314" s="128"/>
      <c r="N314" s="129"/>
      <c r="O314" s="129"/>
      <c r="P314" s="130">
        <f>SUM(P315:P316)</f>
        <v>24</v>
      </c>
      <c r="Q314" s="129"/>
      <c r="R314" s="130">
        <f>SUM(R315:R316)</f>
        <v>0</v>
      </c>
      <c r="S314" s="129"/>
      <c r="T314" s="131">
        <f>SUM(T315:T316)</f>
        <v>0</v>
      </c>
      <c r="AR314" s="125" t="s">
        <v>144</v>
      </c>
      <c r="AT314" s="132" t="s">
        <v>71</v>
      </c>
      <c r="AU314" s="132" t="s">
        <v>72</v>
      </c>
      <c r="AY314" s="125" t="s">
        <v>138</v>
      </c>
      <c r="BK314" s="133">
        <f>SUM(BK315:BK316)</f>
        <v>0</v>
      </c>
    </row>
    <row r="315" spans="1:65" s="2" customFormat="1" ht="24.2" customHeight="1">
      <c r="A315" s="31"/>
      <c r="B315" s="136"/>
      <c r="C315" s="137">
        <v>70</v>
      </c>
      <c r="D315" s="137" t="s">
        <v>141</v>
      </c>
      <c r="E315" s="138" t="s">
        <v>744</v>
      </c>
      <c r="F315" s="139" t="s">
        <v>745</v>
      </c>
      <c r="G315" s="140" t="s">
        <v>746</v>
      </c>
      <c r="H315" s="141">
        <v>24</v>
      </c>
      <c r="I315" s="142"/>
      <c r="J315" s="142">
        <f>ROUND(I315*H315,2)</f>
        <v>0</v>
      </c>
      <c r="K315" s="139" t="s">
        <v>148</v>
      </c>
      <c r="L315" s="32"/>
      <c r="M315" s="143" t="s">
        <v>3</v>
      </c>
      <c r="N315" s="144" t="s">
        <v>43</v>
      </c>
      <c r="O315" s="145">
        <v>1</v>
      </c>
      <c r="P315" s="145">
        <f>O315*H315</f>
        <v>24</v>
      </c>
      <c r="Q315" s="145">
        <v>0</v>
      </c>
      <c r="R315" s="145">
        <f>Q315*H315</f>
        <v>0</v>
      </c>
      <c r="S315" s="145">
        <v>0</v>
      </c>
      <c r="T315" s="146">
        <f>S315*H315</f>
        <v>0</v>
      </c>
      <c r="U315" s="31"/>
      <c r="V315" s="31"/>
      <c r="W315" s="31"/>
      <c r="X315" s="31"/>
      <c r="Y315" s="31"/>
      <c r="Z315" s="31"/>
      <c r="AA315" s="31"/>
      <c r="AB315" s="31"/>
      <c r="AC315" s="31"/>
      <c r="AD315" s="31"/>
      <c r="AE315" s="31"/>
      <c r="AR315" s="147" t="s">
        <v>747</v>
      </c>
      <c r="AT315" s="147" t="s">
        <v>141</v>
      </c>
      <c r="AU315" s="147" t="s">
        <v>80</v>
      </c>
      <c r="AY315" s="19" t="s">
        <v>138</v>
      </c>
      <c r="BE315" s="148">
        <f>IF(N315="základní",J315,0)</f>
        <v>0</v>
      </c>
      <c r="BF315" s="148">
        <f>IF(N315="snížená",J315,0)</f>
        <v>0</v>
      </c>
      <c r="BG315" s="148">
        <f>IF(N315="zákl. přenesená",J315,0)</f>
        <v>0</v>
      </c>
      <c r="BH315" s="148">
        <f>IF(N315="sníž. přenesená",J315,0)</f>
        <v>0</v>
      </c>
      <c r="BI315" s="148">
        <f>IF(N315="nulová",J315,0)</f>
        <v>0</v>
      </c>
      <c r="BJ315" s="19" t="s">
        <v>80</v>
      </c>
      <c r="BK315" s="148">
        <f>ROUND(I315*H315,2)</f>
        <v>0</v>
      </c>
      <c r="BL315" s="19" t="s">
        <v>747</v>
      </c>
      <c r="BM315" s="147" t="s">
        <v>748</v>
      </c>
    </row>
    <row r="316" spans="1:65" s="2" customFormat="1" ht="19.5">
      <c r="A316" s="31"/>
      <c r="B316" s="32"/>
      <c r="C316" s="31"/>
      <c r="D316" s="150" t="s">
        <v>242</v>
      </c>
      <c r="E316" s="31"/>
      <c r="F316" s="163" t="s">
        <v>749</v>
      </c>
      <c r="G316" s="31"/>
      <c r="H316" s="31"/>
      <c r="I316" s="31"/>
      <c r="J316" s="31"/>
      <c r="K316" s="31"/>
      <c r="L316" s="32"/>
      <c r="M316" s="164"/>
      <c r="N316" s="165"/>
      <c r="O316" s="52"/>
      <c r="P316" s="52"/>
      <c r="Q316" s="52"/>
      <c r="R316" s="52"/>
      <c r="S316" s="52"/>
      <c r="T316" s="53"/>
      <c r="U316" s="31"/>
      <c r="V316" s="31"/>
      <c r="W316" s="31"/>
      <c r="X316" s="31"/>
      <c r="Y316" s="31"/>
      <c r="Z316" s="31"/>
      <c r="AA316" s="31"/>
      <c r="AB316" s="31"/>
      <c r="AC316" s="31"/>
      <c r="AD316" s="31"/>
      <c r="AE316" s="31"/>
      <c r="AT316" s="19" t="s">
        <v>242</v>
      </c>
      <c r="AU316" s="19" t="s">
        <v>80</v>
      </c>
    </row>
    <row r="317" spans="1:65" s="12" customFormat="1" ht="25.9" customHeight="1">
      <c r="B317" s="124"/>
      <c r="D317" s="125" t="s">
        <v>71</v>
      </c>
      <c r="E317" s="126" t="s">
        <v>99</v>
      </c>
      <c r="F317" s="126" t="s">
        <v>750</v>
      </c>
      <c r="J317" s="127">
        <f>BK317</f>
        <v>0</v>
      </c>
      <c r="L317" s="124"/>
      <c r="M317" s="128"/>
      <c r="N317" s="129"/>
      <c r="O317" s="129"/>
      <c r="P317" s="130">
        <f>P318</f>
        <v>0</v>
      </c>
      <c r="Q317" s="129"/>
      <c r="R317" s="130">
        <f>R318</f>
        <v>0</v>
      </c>
      <c r="S317" s="129"/>
      <c r="T317" s="131">
        <f>T318</f>
        <v>0</v>
      </c>
      <c r="AR317" s="125" t="s">
        <v>163</v>
      </c>
      <c r="AT317" s="132" t="s">
        <v>71</v>
      </c>
      <c r="AU317" s="132" t="s">
        <v>72</v>
      </c>
      <c r="AY317" s="125" t="s">
        <v>138</v>
      </c>
      <c r="BK317" s="133">
        <f>BK318</f>
        <v>0</v>
      </c>
    </row>
    <row r="318" spans="1:65" s="12" customFormat="1" ht="22.9" customHeight="1">
      <c r="B318" s="124"/>
      <c r="D318" s="125" t="s">
        <v>71</v>
      </c>
      <c r="E318" s="134" t="s">
        <v>751</v>
      </c>
      <c r="F318" s="134" t="s">
        <v>752</v>
      </c>
      <c r="J318" s="135">
        <f>BK318</f>
        <v>0</v>
      </c>
      <c r="L318" s="124"/>
      <c r="M318" s="128"/>
      <c r="N318" s="129"/>
      <c r="O318" s="129"/>
      <c r="P318" s="130">
        <f>SUM(P319:P320)</f>
        <v>0</v>
      </c>
      <c r="Q318" s="129"/>
      <c r="R318" s="130">
        <f>SUM(R319:R320)</f>
        <v>0</v>
      </c>
      <c r="S318" s="129"/>
      <c r="T318" s="131">
        <f>SUM(T319:T320)</f>
        <v>0</v>
      </c>
      <c r="AR318" s="125" t="s">
        <v>163</v>
      </c>
      <c r="AT318" s="132" t="s">
        <v>71</v>
      </c>
      <c r="AU318" s="132" t="s">
        <v>80</v>
      </c>
      <c r="AY318" s="125" t="s">
        <v>138</v>
      </c>
      <c r="BK318" s="133">
        <f>SUM(BK319:BK320)</f>
        <v>0</v>
      </c>
    </row>
    <row r="319" spans="1:65" s="2" customFormat="1" ht="14.45" customHeight="1">
      <c r="A319" s="31"/>
      <c r="B319" s="136"/>
      <c r="C319" s="137">
        <v>71</v>
      </c>
      <c r="D319" s="137" t="s">
        <v>141</v>
      </c>
      <c r="E319" s="138" t="s">
        <v>753</v>
      </c>
      <c r="F319" s="139" t="s">
        <v>754</v>
      </c>
      <c r="G319" s="140" t="s">
        <v>755</v>
      </c>
      <c r="H319" s="141">
        <v>1</v>
      </c>
      <c r="I319" s="142"/>
      <c r="J319" s="142">
        <f>ROUND(I319*H319,2)</f>
        <v>0</v>
      </c>
      <c r="K319" s="139" t="s">
        <v>148</v>
      </c>
      <c r="L319" s="32"/>
      <c r="M319" s="143" t="s">
        <v>3</v>
      </c>
      <c r="N319" s="144" t="s">
        <v>43</v>
      </c>
      <c r="O319" s="145">
        <v>0</v>
      </c>
      <c r="P319" s="145">
        <f>O319*H319</f>
        <v>0</v>
      </c>
      <c r="Q319" s="145">
        <v>0</v>
      </c>
      <c r="R319" s="145">
        <f>Q319*H319</f>
        <v>0</v>
      </c>
      <c r="S319" s="145">
        <v>0</v>
      </c>
      <c r="T319" s="146">
        <f>S319*H319</f>
        <v>0</v>
      </c>
      <c r="U319" s="31"/>
      <c r="V319" s="31"/>
      <c r="W319" s="31"/>
      <c r="X319" s="31"/>
      <c r="Y319" s="31"/>
      <c r="Z319" s="31"/>
      <c r="AA319" s="31"/>
      <c r="AB319" s="31"/>
      <c r="AC319" s="31"/>
      <c r="AD319" s="31"/>
      <c r="AE319" s="31"/>
      <c r="AR319" s="147" t="s">
        <v>756</v>
      </c>
      <c r="AT319" s="147" t="s">
        <v>141</v>
      </c>
      <c r="AU319" s="147" t="s">
        <v>82</v>
      </c>
      <c r="AY319" s="19" t="s">
        <v>138</v>
      </c>
      <c r="BE319" s="148">
        <f>IF(N319="základní",J319,0)</f>
        <v>0</v>
      </c>
      <c r="BF319" s="148">
        <f>IF(N319="snížená",J319,0)</f>
        <v>0</v>
      </c>
      <c r="BG319" s="148">
        <f>IF(N319="zákl. přenesená",J319,0)</f>
        <v>0</v>
      </c>
      <c r="BH319" s="148">
        <f>IF(N319="sníž. přenesená",J319,0)</f>
        <v>0</v>
      </c>
      <c r="BI319" s="148">
        <f>IF(N319="nulová",J319,0)</f>
        <v>0</v>
      </c>
      <c r="BJ319" s="19" t="s">
        <v>80</v>
      </c>
      <c r="BK319" s="148">
        <f>ROUND(I319*H319,2)</f>
        <v>0</v>
      </c>
      <c r="BL319" s="19" t="s">
        <v>756</v>
      </c>
      <c r="BM319" s="147" t="s">
        <v>757</v>
      </c>
    </row>
    <row r="320" spans="1:65" s="2" customFormat="1" ht="58.5">
      <c r="A320" s="31"/>
      <c r="B320" s="32"/>
      <c r="C320" s="31"/>
      <c r="D320" s="150" t="s">
        <v>242</v>
      </c>
      <c r="E320" s="31"/>
      <c r="F320" s="163" t="s">
        <v>1330</v>
      </c>
      <c r="G320" s="31"/>
      <c r="H320" s="31"/>
      <c r="I320" s="31"/>
      <c r="J320" s="31"/>
      <c r="K320" s="31"/>
      <c r="L320" s="32"/>
      <c r="M320" s="189"/>
      <c r="N320" s="190"/>
      <c r="O320" s="191"/>
      <c r="P320" s="191"/>
      <c r="Q320" s="191"/>
      <c r="R320" s="191"/>
      <c r="S320" s="191"/>
      <c r="T320" s="192"/>
      <c r="U320" s="31"/>
      <c r="V320" s="31"/>
      <c r="W320" s="31"/>
      <c r="X320" s="31"/>
      <c r="Y320" s="31"/>
      <c r="Z320" s="31"/>
      <c r="AA320" s="31"/>
      <c r="AB320" s="31"/>
      <c r="AC320" s="31"/>
      <c r="AD320" s="31"/>
      <c r="AE320" s="31"/>
      <c r="AT320" s="19" t="s">
        <v>242</v>
      </c>
      <c r="AU320" s="19" t="s">
        <v>82</v>
      </c>
    </row>
    <row r="321" spans="1:31" s="2" customFormat="1" ht="6.95" customHeight="1">
      <c r="A321" s="31"/>
      <c r="B321" s="41"/>
      <c r="C321" s="42"/>
      <c r="D321" s="42"/>
      <c r="E321" s="42"/>
      <c r="F321" s="42"/>
      <c r="G321" s="42"/>
      <c r="H321" s="42"/>
      <c r="I321" s="42"/>
      <c r="J321" s="42"/>
      <c r="K321" s="42"/>
      <c r="L321" s="32"/>
      <c r="M321" s="31"/>
      <c r="O321" s="31"/>
      <c r="P321" s="31"/>
      <c r="Q321" s="31"/>
      <c r="R321" s="31"/>
      <c r="S321" s="31"/>
      <c r="T321" s="31"/>
      <c r="U321" s="31"/>
      <c r="V321" s="31"/>
      <c r="W321" s="31"/>
      <c r="X321" s="31"/>
      <c r="Y321" s="31"/>
      <c r="Z321" s="31"/>
      <c r="AA321" s="31"/>
      <c r="AB321" s="31"/>
      <c r="AC321" s="31"/>
      <c r="AD321" s="31"/>
      <c r="AE321" s="31"/>
    </row>
  </sheetData>
  <autoFilter ref="C93:K320" xr:uid="{00000000-0009-0000-0000-000002000000}"/>
  <mergeCells count="9">
    <mergeCell ref="E50:H50"/>
    <mergeCell ref="E84:H84"/>
    <mergeCell ref="E86:H86"/>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4" fitToHeight="100" orientation="portrait" r:id="rId1"/>
  <headerFooter>
    <oddFooter>&amp;CStrana &amp;P z &amp;N</oddFooter>
  </headerFooter>
  <rowBreaks count="5" manualBreakCount="5">
    <brk id="161" min="2" max="10" man="1"/>
    <brk id="192" min="2" max="10" man="1"/>
    <brk id="221" min="2" max="10" man="1"/>
    <brk id="268" min="2" max="10" man="1"/>
    <brk id="296" min="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89"/>
  <sheetViews>
    <sheetView showGridLines="0" view="pageBreakPreview" topLeftCell="A181" zoomScale="110" zoomScaleNormal="70" zoomScaleSheetLayoutView="110" workbookViewId="0">
      <selection activeCell="I188" sqref="I95:I18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52" t="s">
        <v>6</v>
      </c>
      <c r="M2" s="346"/>
      <c r="N2" s="346"/>
      <c r="O2" s="346"/>
      <c r="P2" s="346"/>
      <c r="Q2" s="346"/>
      <c r="R2" s="346"/>
      <c r="S2" s="346"/>
      <c r="T2" s="346"/>
      <c r="U2" s="346"/>
      <c r="V2" s="346"/>
      <c r="AT2" s="19" t="s">
        <v>88</v>
      </c>
    </row>
    <row r="3" spans="1:46" s="1" customFormat="1" ht="6.95" customHeight="1">
      <c r="B3" s="20"/>
      <c r="C3" s="21"/>
      <c r="D3" s="21"/>
      <c r="E3" s="21"/>
      <c r="F3" s="21"/>
      <c r="G3" s="21"/>
      <c r="H3" s="21"/>
      <c r="I3" s="21"/>
      <c r="J3" s="21"/>
      <c r="K3" s="21"/>
      <c r="L3" s="22"/>
      <c r="AT3" s="19" t="s">
        <v>82</v>
      </c>
    </row>
    <row r="4" spans="1:46" s="1" customFormat="1" ht="24.95" customHeight="1">
      <c r="B4" s="22"/>
      <c r="D4" s="23" t="s">
        <v>101</v>
      </c>
      <c r="L4" s="22"/>
      <c r="M4" s="88" t="s">
        <v>11</v>
      </c>
      <c r="AT4" s="19" t="s">
        <v>4</v>
      </c>
    </row>
    <row r="5" spans="1:46" s="1" customFormat="1" ht="6.95" customHeight="1">
      <c r="B5" s="22"/>
      <c r="L5" s="22"/>
    </row>
    <row r="6" spans="1:46" s="1" customFormat="1" ht="12" customHeight="1">
      <c r="B6" s="22"/>
      <c r="D6" s="28" t="s">
        <v>14</v>
      </c>
      <c r="L6" s="22"/>
    </row>
    <row r="7" spans="1:46" s="1" customFormat="1" ht="23.25" customHeight="1">
      <c r="B7" s="22"/>
      <c r="E7" s="358" t="str">
        <f>'Rekapitulace stavby'!K6</f>
        <v>Rekonstrukce objektu vrátnice a areálu Nemocnice Nymburk s.r.o. , objekt na č.parc. 323, k.ú. Nymburk</v>
      </c>
      <c r="F7" s="359"/>
      <c r="G7" s="359"/>
      <c r="H7" s="359"/>
      <c r="L7" s="22"/>
    </row>
    <row r="8" spans="1:46" s="2" customFormat="1" ht="12" customHeight="1">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4" t="s">
        <v>758</v>
      </c>
      <c r="F9" s="357"/>
      <c r="G9" s="357"/>
      <c r="H9" s="357"/>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45" t="str">
        <f>'Rekapitulace stavby'!E14</f>
        <v xml:space="preserve"> </v>
      </c>
      <c r="F18" s="345"/>
      <c r="G18" s="345"/>
      <c r="H18" s="345"/>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48" t="s">
        <v>37</v>
      </c>
      <c r="F27" s="348"/>
      <c r="G27" s="348"/>
      <c r="H27" s="348"/>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38</v>
      </c>
      <c r="E30" s="31"/>
      <c r="F30" s="31"/>
      <c r="G30" s="31"/>
      <c r="H30" s="31"/>
      <c r="I30" s="31"/>
      <c r="J30" s="65">
        <f>ROUND(J92,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42</v>
      </c>
      <c r="E33" s="28" t="s">
        <v>43</v>
      </c>
      <c r="F33" s="95">
        <f>ROUND((SUM(BE92:BE186)),  2)</f>
        <v>0</v>
      </c>
      <c r="G33" s="31"/>
      <c r="H33" s="31"/>
      <c r="I33" s="96">
        <v>0.21</v>
      </c>
      <c r="J33" s="95">
        <f>ROUND(((SUM(BE92:BE186))*I33),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44</v>
      </c>
      <c r="F34" s="95">
        <f>ROUND((SUM(BF92:BF186)),  2)</f>
        <v>0</v>
      </c>
      <c r="G34" s="31"/>
      <c r="H34" s="31"/>
      <c r="I34" s="96">
        <v>0.15</v>
      </c>
      <c r="J34" s="95">
        <f>ROUND(((SUM(BF92:BF186))*I34),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45</v>
      </c>
      <c r="F35" s="95">
        <f>ROUND((SUM(BG92:BG186)),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46</v>
      </c>
      <c r="F36" s="95">
        <f>ROUND((SUM(BH92:BH186)),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47</v>
      </c>
      <c r="F37" s="95">
        <f>ROUND((SUM(BI92:BI186)),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58" t="str">
        <f>E7</f>
        <v>Rekonstrukce objektu vrátnice a areálu Nemocnice Nymburk s.r.o. , objekt na č.parc. 323, k.ú. Nymburk</v>
      </c>
      <c r="F48" s="359"/>
      <c r="G48" s="359"/>
      <c r="H48" s="359"/>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4" t="str">
        <f>E9</f>
        <v>03 - Vytápění</v>
      </c>
      <c r="F50" s="357"/>
      <c r="G50" s="357"/>
      <c r="H50" s="357"/>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28</v>
      </c>
      <c r="D55" s="31"/>
      <c r="E55" s="31"/>
      <c r="F55" s="26" t="str">
        <f>IF(E18="","",E18)</f>
        <v xml:space="preserve"> </v>
      </c>
      <c r="G55" s="31"/>
      <c r="H55" s="31"/>
      <c r="I55" s="28" t="s">
        <v>35</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70</v>
      </c>
      <c r="D59" s="31"/>
      <c r="E59" s="31"/>
      <c r="F59" s="31"/>
      <c r="G59" s="31"/>
      <c r="H59" s="31"/>
      <c r="I59" s="31"/>
      <c r="J59" s="65">
        <f>J92</f>
        <v>0</v>
      </c>
      <c r="K59" s="31"/>
      <c r="L59" s="89"/>
      <c r="S59" s="31"/>
      <c r="T59" s="31"/>
      <c r="U59" s="31"/>
      <c r="V59" s="31"/>
      <c r="W59" s="31"/>
      <c r="X59" s="31"/>
      <c r="Y59" s="31"/>
      <c r="Z59" s="31"/>
      <c r="AA59" s="31"/>
      <c r="AB59" s="31"/>
      <c r="AC59" s="31"/>
      <c r="AD59" s="31"/>
      <c r="AE59" s="31"/>
      <c r="AU59" s="19" t="s">
        <v>107</v>
      </c>
    </row>
    <row r="60" spans="1:47" s="9" customFormat="1" ht="24.95" customHeight="1">
      <c r="B60" s="106"/>
      <c r="D60" s="107" t="s">
        <v>108</v>
      </c>
      <c r="E60" s="108"/>
      <c r="F60" s="108"/>
      <c r="G60" s="108"/>
      <c r="H60" s="108"/>
      <c r="I60" s="108"/>
      <c r="J60" s="109">
        <f>J93</f>
        <v>0</v>
      </c>
      <c r="L60" s="106"/>
    </row>
    <row r="61" spans="1:47" s="10" customFormat="1" ht="19.899999999999999" customHeight="1">
      <c r="B61" s="110"/>
      <c r="D61" s="111" t="s">
        <v>109</v>
      </c>
      <c r="E61" s="112"/>
      <c r="F61" s="112"/>
      <c r="G61" s="112"/>
      <c r="H61" s="112"/>
      <c r="I61" s="112"/>
      <c r="J61" s="113">
        <f>J94</f>
        <v>0</v>
      </c>
      <c r="L61" s="110"/>
    </row>
    <row r="62" spans="1:47" s="10" customFormat="1" ht="19.899999999999999" customHeight="1">
      <c r="B62" s="110"/>
      <c r="D62" s="111" t="s">
        <v>110</v>
      </c>
      <c r="E62" s="112"/>
      <c r="F62" s="112"/>
      <c r="G62" s="112"/>
      <c r="H62" s="112"/>
      <c r="I62" s="112"/>
      <c r="J62" s="113">
        <f>J98</f>
        <v>0</v>
      </c>
      <c r="L62" s="110"/>
    </row>
    <row r="63" spans="1:47" s="10" customFormat="1" ht="19.899999999999999" customHeight="1">
      <c r="B63" s="110"/>
      <c r="D63" s="111" t="s">
        <v>111</v>
      </c>
      <c r="E63" s="112"/>
      <c r="F63" s="112"/>
      <c r="G63" s="112"/>
      <c r="H63" s="112"/>
      <c r="I63" s="112"/>
      <c r="J63" s="113">
        <f>J104</f>
        <v>0</v>
      </c>
      <c r="L63" s="110"/>
    </row>
    <row r="64" spans="1:47" s="10" customFormat="1" ht="19.899999999999999" customHeight="1">
      <c r="B64" s="110"/>
      <c r="D64" s="111" t="s">
        <v>112</v>
      </c>
      <c r="E64" s="112"/>
      <c r="F64" s="112"/>
      <c r="G64" s="112"/>
      <c r="H64" s="112"/>
      <c r="I64" s="112"/>
      <c r="J64" s="113">
        <f>J111</f>
        <v>0</v>
      </c>
      <c r="L64" s="110"/>
    </row>
    <row r="65" spans="1:31" s="10" customFormat="1" ht="19.899999999999999" customHeight="1">
      <c r="B65" s="110"/>
      <c r="D65" s="111" t="s">
        <v>113</v>
      </c>
      <c r="E65" s="112"/>
      <c r="F65" s="112"/>
      <c r="G65" s="112"/>
      <c r="H65" s="112"/>
      <c r="I65" s="112"/>
      <c r="J65" s="113">
        <f>J125</f>
        <v>0</v>
      </c>
      <c r="L65" s="110"/>
    </row>
    <row r="66" spans="1:31" s="9" customFormat="1" ht="24.95" customHeight="1">
      <c r="B66" s="106"/>
      <c r="D66" s="107" t="s">
        <v>114</v>
      </c>
      <c r="E66" s="108"/>
      <c r="F66" s="108"/>
      <c r="G66" s="108"/>
      <c r="H66" s="108"/>
      <c r="I66" s="108"/>
      <c r="J66" s="109">
        <f>J128</f>
        <v>0</v>
      </c>
      <c r="L66" s="106"/>
    </row>
    <row r="67" spans="1:31" s="10" customFormat="1" ht="19.899999999999999" customHeight="1">
      <c r="B67" s="110"/>
      <c r="D67" s="111" t="s">
        <v>1574</v>
      </c>
      <c r="E67" s="112"/>
      <c r="F67" s="112"/>
      <c r="G67" s="112"/>
      <c r="H67" s="112"/>
      <c r="I67" s="112"/>
      <c r="J67" s="113">
        <f>J129</f>
        <v>0</v>
      </c>
      <c r="L67" s="110"/>
    </row>
    <row r="68" spans="1:31" s="10" customFormat="1" ht="19.899999999999999" customHeight="1">
      <c r="B68" s="110"/>
      <c r="D68" s="111" t="s">
        <v>759</v>
      </c>
      <c r="E68" s="112"/>
      <c r="F68" s="112"/>
      <c r="G68" s="112"/>
      <c r="H68" s="112"/>
      <c r="I68" s="112"/>
      <c r="J68" s="113">
        <f>J139</f>
        <v>0</v>
      </c>
      <c r="L68" s="110"/>
    </row>
    <row r="69" spans="1:31" s="10" customFormat="1" ht="19.899999999999999" customHeight="1">
      <c r="B69" s="110"/>
      <c r="D69" s="111" t="s">
        <v>760</v>
      </c>
      <c r="E69" s="112"/>
      <c r="F69" s="112"/>
      <c r="G69" s="112"/>
      <c r="H69" s="112"/>
      <c r="I69" s="112"/>
      <c r="J69" s="113">
        <f>J155</f>
        <v>0</v>
      </c>
      <c r="L69" s="110"/>
    </row>
    <row r="70" spans="1:31" s="10" customFormat="1" ht="19.899999999999999" customHeight="1">
      <c r="B70" s="110"/>
      <c r="D70" s="111" t="s">
        <v>761</v>
      </c>
      <c r="E70" s="112"/>
      <c r="F70" s="112"/>
      <c r="G70" s="112"/>
      <c r="H70" s="112"/>
      <c r="I70" s="112"/>
      <c r="J70" s="113">
        <f>J167</f>
        <v>0</v>
      </c>
      <c r="L70" s="110"/>
    </row>
    <row r="71" spans="1:31" s="10" customFormat="1" ht="19.899999999999999" customHeight="1">
      <c r="B71" s="110"/>
      <c r="D71" s="111" t="s">
        <v>121</v>
      </c>
      <c r="E71" s="112"/>
      <c r="F71" s="112"/>
      <c r="G71" s="112"/>
      <c r="H71" s="112"/>
      <c r="I71" s="112"/>
      <c r="J71" s="113">
        <f>J176</f>
        <v>0</v>
      </c>
      <c r="L71" s="110"/>
    </row>
    <row r="72" spans="1:31" s="9" customFormat="1" ht="24.95" customHeight="1">
      <c r="B72" s="106"/>
      <c r="D72" s="107" t="s">
        <v>530</v>
      </c>
      <c r="E72" s="108"/>
      <c r="F72" s="108"/>
      <c r="G72" s="108"/>
      <c r="H72" s="108"/>
      <c r="I72" s="108"/>
      <c r="J72" s="109">
        <f>J180</f>
        <v>0</v>
      </c>
      <c r="L72" s="106"/>
    </row>
    <row r="73" spans="1:31" s="2" customFormat="1" ht="21.75" customHeight="1">
      <c r="A73" s="31"/>
      <c r="B73" s="32"/>
      <c r="C73" s="31"/>
      <c r="D73" s="31"/>
      <c r="E73" s="31"/>
      <c r="F73" s="31"/>
      <c r="G73" s="31"/>
      <c r="H73" s="31"/>
      <c r="I73" s="31"/>
      <c r="J73" s="31"/>
      <c r="K73" s="31"/>
      <c r="L73" s="89"/>
      <c r="S73" s="31"/>
      <c r="T73" s="31"/>
      <c r="U73" s="31"/>
      <c r="V73" s="31"/>
      <c r="W73" s="31"/>
      <c r="X73" s="31"/>
      <c r="Y73" s="31"/>
      <c r="Z73" s="31"/>
      <c r="AA73" s="31"/>
      <c r="AB73" s="31"/>
      <c r="AC73" s="31"/>
      <c r="AD73" s="31"/>
      <c r="AE73" s="31"/>
    </row>
    <row r="74" spans="1:31" s="2" customFormat="1" ht="6.95" customHeight="1">
      <c r="A74" s="31"/>
      <c r="B74" s="41"/>
      <c r="C74" s="42"/>
      <c r="D74" s="42"/>
      <c r="E74" s="42"/>
      <c r="F74" s="42"/>
      <c r="G74" s="42"/>
      <c r="H74" s="42"/>
      <c r="I74" s="42"/>
      <c r="J74" s="42"/>
      <c r="K74" s="42"/>
      <c r="L74" s="89"/>
      <c r="S74" s="31"/>
      <c r="T74" s="31"/>
      <c r="U74" s="31"/>
      <c r="V74" s="31"/>
      <c r="W74" s="31"/>
      <c r="X74" s="31"/>
      <c r="Y74" s="31"/>
      <c r="Z74" s="31"/>
      <c r="AA74" s="31"/>
      <c r="AB74" s="31"/>
      <c r="AC74" s="31"/>
      <c r="AD74" s="31"/>
      <c r="AE74" s="31"/>
    </row>
    <row r="78" spans="1:31" s="2" customFormat="1" ht="6.95" customHeight="1">
      <c r="A78" s="31"/>
      <c r="B78" s="43"/>
      <c r="C78" s="44"/>
      <c r="D78" s="44"/>
      <c r="E78" s="44"/>
      <c r="F78" s="44"/>
      <c r="G78" s="44"/>
      <c r="H78" s="44"/>
      <c r="I78" s="44"/>
      <c r="J78" s="44"/>
      <c r="K78" s="44"/>
      <c r="L78" s="89"/>
      <c r="S78" s="31"/>
      <c r="T78" s="31"/>
      <c r="U78" s="31"/>
      <c r="V78" s="31"/>
      <c r="W78" s="31"/>
      <c r="X78" s="31"/>
      <c r="Y78" s="31"/>
      <c r="Z78" s="31"/>
      <c r="AA78" s="31"/>
      <c r="AB78" s="31"/>
      <c r="AC78" s="31"/>
      <c r="AD78" s="31"/>
      <c r="AE78" s="31"/>
    </row>
    <row r="79" spans="1:31" s="2" customFormat="1" ht="24.95" customHeight="1">
      <c r="A79" s="31"/>
      <c r="B79" s="32"/>
      <c r="C79" s="23" t="s">
        <v>123</v>
      </c>
      <c r="D79" s="31"/>
      <c r="E79" s="31"/>
      <c r="F79" s="31"/>
      <c r="G79" s="31"/>
      <c r="H79" s="31"/>
      <c r="I79" s="31"/>
      <c r="J79" s="31"/>
      <c r="K79" s="31"/>
      <c r="L79" s="89"/>
      <c r="S79" s="31"/>
      <c r="T79" s="31"/>
      <c r="U79" s="31"/>
      <c r="V79" s="31"/>
      <c r="W79" s="31"/>
      <c r="X79" s="31"/>
      <c r="Y79" s="31"/>
      <c r="Z79" s="31"/>
      <c r="AA79" s="31"/>
      <c r="AB79" s="31"/>
      <c r="AC79" s="31"/>
      <c r="AD79" s="31"/>
      <c r="AE79" s="31"/>
    </row>
    <row r="80" spans="1:31" s="2" customFormat="1" ht="6.95" customHeight="1">
      <c r="A80" s="31"/>
      <c r="B80" s="32"/>
      <c r="C80" s="31"/>
      <c r="D80" s="31"/>
      <c r="E80" s="31"/>
      <c r="F80" s="31"/>
      <c r="G80" s="31"/>
      <c r="H80" s="31"/>
      <c r="I80" s="31"/>
      <c r="J80" s="31"/>
      <c r="K80" s="31"/>
      <c r="L80" s="89"/>
      <c r="S80" s="31"/>
      <c r="T80" s="31"/>
      <c r="U80" s="31"/>
      <c r="V80" s="31"/>
      <c r="W80" s="31"/>
      <c r="X80" s="31"/>
      <c r="Y80" s="31"/>
      <c r="Z80" s="31"/>
      <c r="AA80" s="31"/>
      <c r="AB80" s="31"/>
      <c r="AC80" s="31"/>
      <c r="AD80" s="31"/>
      <c r="AE80" s="31"/>
    </row>
    <row r="81" spans="1:65" s="2" customFormat="1" ht="12" customHeight="1">
      <c r="A81" s="31"/>
      <c r="B81" s="32"/>
      <c r="C81" s="28" t="s">
        <v>14</v>
      </c>
      <c r="D81" s="31"/>
      <c r="E81" s="31"/>
      <c r="F81" s="31"/>
      <c r="G81" s="31"/>
      <c r="H81" s="31"/>
      <c r="I81" s="31"/>
      <c r="J81" s="31"/>
      <c r="K81" s="31"/>
      <c r="L81" s="89"/>
      <c r="S81" s="31"/>
      <c r="T81" s="31"/>
      <c r="U81" s="31"/>
      <c r="V81" s="31"/>
      <c r="W81" s="31"/>
      <c r="X81" s="31"/>
      <c r="Y81" s="31"/>
      <c r="Z81" s="31"/>
      <c r="AA81" s="31"/>
      <c r="AB81" s="31"/>
      <c r="AC81" s="31"/>
      <c r="AD81" s="31"/>
      <c r="AE81" s="31"/>
    </row>
    <row r="82" spans="1:65" s="2" customFormat="1" ht="23.25" customHeight="1">
      <c r="A82" s="31"/>
      <c r="B82" s="32"/>
      <c r="C82" s="31"/>
      <c r="D82" s="31"/>
      <c r="E82" s="358" t="str">
        <f>E7</f>
        <v>Rekonstrukce objektu vrátnice a areálu Nemocnice Nymburk s.r.o. , objekt na č.parc. 323, k.ú. Nymburk</v>
      </c>
      <c r="F82" s="359"/>
      <c r="G82" s="359"/>
      <c r="H82" s="359"/>
      <c r="I82" s="31"/>
      <c r="J82" s="31"/>
      <c r="K82" s="31"/>
      <c r="L82" s="89"/>
      <c r="S82" s="31"/>
      <c r="T82" s="31"/>
      <c r="U82" s="31"/>
      <c r="V82" s="31"/>
      <c r="W82" s="31"/>
      <c r="X82" s="31"/>
      <c r="Y82" s="31"/>
      <c r="Z82" s="31"/>
      <c r="AA82" s="31"/>
      <c r="AB82" s="31"/>
      <c r="AC82" s="31"/>
      <c r="AD82" s="31"/>
      <c r="AE82" s="31"/>
    </row>
    <row r="83" spans="1:65" s="2" customFormat="1" ht="12" customHeight="1">
      <c r="A83" s="31"/>
      <c r="B83" s="32"/>
      <c r="C83" s="28" t="s">
        <v>102</v>
      </c>
      <c r="D83" s="31"/>
      <c r="E83" s="31"/>
      <c r="F83" s="31"/>
      <c r="G83" s="31"/>
      <c r="H83" s="31"/>
      <c r="I83" s="31"/>
      <c r="J83" s="31"/>
      <c r="K83" s="31"/>
      <c r="L83" s="89"/>
      <c r="S83" s="31"/>
      <c r="T83" s="31"/>
      <c r="U83" s="31"/>
      <c r="V83" s="31"/>
      <c r="W83" s="31"/>
      <c r="X83" s="31"/>
      <c r="Y83" s="31"/>
      <c r="Z83" s="31"/>
      <c r="AA83" s="31"/>
      <c r="AB83" s="31"/>
      <c r="AC83" s="31"/>
      <c r="AD83" s="31"/>
      <c r="AE83" s="31"/>
    </row>
    <row r="84" spans="1:65" s="2" customFormat="1" ht="16.5" customHeight="1">
      <c r="A84" s="31"/>
      <c r="B84" s="32"/>
      <c r="C84" s="31"/>
      <c r="D84" s="31"/>
      <c r="E84" s="324" t="str">
        <f>E9</f>
        <v>03 - Vytápění</v>
      </c>
      <c r="F84" s="357"/>
      <c r="G84" s="357"/>
      <c r="H84" s="357"/>
      <c r="I84" s="31"/>
      <c r="J84" s="31"/>
      <c r="K84" s="31"/>
      <c r="L84" s="89"/>
      <c r="S84" s="31"/>
      <c r="T84" s="31"/>
      <c r="U84" s="31"/>
      <c r="V84" s="31"/>
      <c r="W84" s="31"/>
      <c r="X84" s="31"/>
      <c r="Y84" s="31"/>
      <c r="Z84" s="31"/>
      <c r="AA84" s="31"/>
      <c r="AB84" s="31"/>
      <c r="AC84" s="31"/>
      <c r="AD84" s="31"/>
      <c r="AE84" s="31"/>
    </row>
    <row r="85" spans="1:65" s="2" customFormat="1" ht="6.95" customHeight="1">
      <c r="A85" s="31"/>
      <c r="B85" s="32"/>
      <c r="C85" s="31"/>
      <c r="D85" s="31"/>
      <c r="E85" s="31"/>
      <c r="F85" s="31"/>
      <c r="G85" s="31"/>
      <c r="H85" s="31"/>
      <c r="I85" s="31"/>
      <c r="J85" s="31"/>
      <c r="K85" s="31"/>
      <c r="L85" s="89"/>
      <c r="S85" s="31"/>
      <c r="T85" s="31"/>
      <c r="U85" s="31"/>
      <c r="V85" s="31"/>
      <c r="W85" s="31"/>
      <c r="X85" s="31"/>
      <c r="Y85" s="31"/>
      <c r="Z85" s="31"/>
      <c r="AA85" s="31"/>
      <c r="AB85" s="31"/>
      <c r="AC85" s="31"/>
      <c r="AD85" s="31"/>
      <c r="AE85" s="31"/>
    </row>
    <row r="86" spans="1:65" s="2" customFormat="1" ht="12" customHeight="1">
      <c r="A86" s="31"/>
      <c r="B86" s="32"/>
      <c r="C86" s="28" t="s">
        <v>19</v>
      </c>
      <c r="D86" s="31"/>
      <c r="E86" s="31"/>
      <c r="F86" s="26" t="str">
        <f>F12</f>
        <v>Nymburk</v>
      </c>
      <c r="G86" s="31"/>
      <c r="H86" s="31"/>
      <c r="I86" s="28" t="s">
        <v>21</v>
      </c>
      <c r="J86" s="49">
        <f>IF(J12="","",J12)</f>
        <v>44144</v>
      </c>
      <c r="K86" s="31"/>
      <c r="L86" s="89"/>
      <c r="S86" s="31"/>
      <c r="T86" s="31"/>
      <c r="U86" s="31"/>
      <c r="V86" s="31"/>
      <c r="W86" s="31"/>
      <c r="X86" s="31"/>
      <c r="Y86" s="31"/>
      <c r="Z86" s="31"/>
      <c r="AA86" s="31"/>
      <c r="AB86" s="31"/>
      <c r="AC86" s="31"/>
      <c r="AD86" s="31"/>
      <c r="AE86" s="31"/>
    </row>
    <row r="87" spans="1:65" s="2" customFormat="1" ht="6.95" customHeight="1">
      <c r="A87" s="31"/>
      <c r="B87" s="32"/>
      <c r="C87" s="31"/>
      <c r="D87" s="31"/>
      <c r="E87" s="31"/>
      <c r="F87" s="31"/>
      <c r="G87" s="31"/>
      <c r="H87" s="31"/>
      <c r="I87" s="31"/>
      <c r="J87" s="31"/>
      <c r="K87" s="31"/>
      <c r="L87" s="89"/>
      <c r="S87" s="31"/>
      <c r="T87" s="31"/>
      <c r="U87" s="31"/>
      <c r="V87" s="31"/>
      <c r="W87" s="31"/>
      <c r="X87" s="31"/>
      <c r="Y87" s="31"/>
      <c r="Z87" s="31"/>
      <c r="AA87" s="31"/>
      <c r="AB87" s="31"/>
      <c r="AC87" s="31"/>
      <c r="AD87" s="31"/>
      <c r="AE87" s="31"/>
    </row>
    <row r="88" spans="1:65" s="2" customFormat="1" ht="25.7" customHeight="1">
      <c r="A88" s="31"/>
      <c r="B88" s="32"/>
      <c r="C88" s="28" t="s">
        <v>22</v>
      </c>
      <c r="D88" s="31"/>
      <c r="E88" s="31"/>
      <c r="F88" s="26" t="str">
        <f>E15</f>
        <v>Nemocnice Nymburk s.r.o.</v>
      </c>
      <c r="G88" s="31"/>
      <c r="H88" s="31"/>
      <c r="I88" s="28" t="s">
        <v>30</v>
      </c>
      <c r="J88" s="29" t="str">
        <f>E21</f>
        <v>Ing. arch. Pavel Petrák</v>
      </c>
      <c r="K88" s="31"/>
      <c r="L88" s="89"/>
      <c r="S88" s="31"/>
      <c r="T88" s="31"/>
      <c r="U88" s="31"/>
      <c r="V88" s="31"/>
      <c r="W88" s="31"/>
      <c r="X88" s="31"/>
      <c r="Y88" s="31"/>
      <c r="Z88" s="31"/>
      <c r="AA88" s="31"/>
      <c r="AB88" s="31"/>
      <c r="AC88" s="31"/>
      <c r="AD88" s="31"/>
      <c r="AE88" s="31"/>
    </row>
    <row r="89" spans="1:65" s="2" customFormat="1" ht="15.2" customHeight="1">
      <c r="A89" s="31"/>
      <c r="B89" s="32"/>
      <c r="C89" s="28" t="s">
        <v>28</v>
      </c>
      <c r="D89" s="31"/>
      <c r="E89" s="31"/>
      <c r="F89" s="26" t="str">
        <f>IF(E18="","",E18)</f>
        <v xml:space="preserve"> </v>
      </c>
      <c r="G89" s="31"/>
      <c r="H89" s="31"/>
      <c r="I89" s="28" t="s">
        <v>35</v>
      </c>
      <c r="J89" s="29" t="str">
        <f>E24</f>
        <v xml:space="preserve"> </v>
      </c>
      <c r="K89" s="31"/>
      <c r="L89" s="89"/>
      <c r="S89" s="31"/>
      <c r="T89" s="31"/>
      <c r="U89" s="31"/>
      <c r="V89" s="31"/>
      <c r="W89" s="31"/>
      <c r="X89" s="31"/>
      <c r="Y89" s="31"/>
      <c r="Z89" s="31"/>
      <c r="AA89" s="31"/>
      <c r="AB89" s="31"/>
      <c r="AC89" s="31"/>
      <c r="AD89" s="31"/>
      <c r="AE89" s="31"/>
    </row>
    <row r="90" spans="1:65" s="2" customFormat="1" ht="10.35" customHeight="1">
      <c r="A90" s="31"/>
      <c r="B90" s="32"/>
      <c r="C90" s="31"/>
      <c r="D90" s="31"/>
      <c r="E90" s="31"/>
      <c r="F90" s="31"/>
      <c r="G90" s="31"/>
      <c r="H90" s="31"/>
      <c r="I90" s="31"/>
      <c r="J90" s="31"/>
      <c r="K90" s="31"/>
      <c r="L90" s="89"/>
      <c r="S90" s="31"/>
      <c r="T90" s="31"/>
      <c r="U90" s="31"/>
      <c r="V90" s="31"/>
      <c r="W90" s="31"/>
      <c r="X90" s="31"/>
      <c r="Y90" s="31"/>
      <c r="Z90" s="31"/>
      <c r="AA90" s="31"/>
      <c r="AB90" s="31"/>
      <c r="AC90" s="31"/>
      <c r="AD90" s="31"/>
      <c r="AE90" s="31"/>
    </row>
    <row r="91" spans="1:65" s="11" customFormat="1" ht="29.25" customHeight="1">
      <c r="A91" s="114"/>
      <c r="B91" s="115"/>
      <c r="C91" s="116" t="s">
        <v>124</v>
      </c>
      <c r="D91" s="117" t="s">
        <v>57</v>
      </c>
      <c r="E91" s="117" t="s">
        <v>53</v>
      </c>
      <c r="F91" s="117" t="s">
        <v>54</v>
      </c>
      <c r="G91" s="117" t="s">
        <v>125</v>
      </c>
      <c r="H91" s="117" t="s">
        <v>126</v>
      </c>
      <c r="I91" s="117" t="s">
        <v>127</v>
      </c>
      <c r="J91" s="117" t="s">
        <v>106</v>
      </c>
      <c r="K91" s="118" t="s">
        <v>128</v>
      </c>
      <c r="L91" s="119"/>
      <c r="M91" s="56" t="s">
        <v>3</v>
      </c>
      <c r="N91" s="57" t="s">
        <v>42</v>
      </c>
      <c r="O91" s="57" t="s">
        <v>129</v>
      </c>
      <c r="P91" s="57" t="s">
        <v>130</v>
      </c>
      <c r="Q91" s="57" t="s">
        <v>131</v>
      </c>
      <c r="R91" s="57" t="s">
        <v>132</v>
      </c>
      <c r="S91" s="57" t="s">
        <v>133</v>
      </c>
      <c r="T91" s="58" t="s">
        <v>134</v>
      </c>
      <c r="U91" s="114"/>
      <c r="V91" s="114"/>
      <c r="W91" s="114"/>
      <c r="X91" s="114"/>
      <c r="Y91" s="114"/>
      <c r="Z91" s="114"/>
      <c r="AA91" s="114"/>
      <c r="AB91" s="114"/>
      <c r="AC91" s="114"/>
      <c r="AD91" s="114"/>
      <c r="AE91" s="114"/>
    </row>
    <row r="92" spans="1:65" s="2" customFormat="1" ht="22.9" customHeight="1">
      <c r="A92" s="31"/>
      <c r="B92" s="32"/>
      <c r="C92" s="63" t="s">
        <v>135</v>
      </c>
      <c r="D92" s="31"/>
      <c r="E92" s="31"/>
      <c r="F92" s="31"/>
      <c r="G92" s="31"/>
      <c r="H92" s="31"/>
      <c r="I92" s="31"/>
      <c r="J92" s="120">
        <f>J93+J128</f>
        <v>0</v>
      </c>
      <c r="K92" s="31"/>
      <c r="L92" s="32"/>
      <c r="M92" s="59"/>
      <c r="N92" s="50"/>
      <c r="O92" s="60"/>
      <c r="P92" s="121">
        <f>P93+P128+P180</f>
        <v>42.122180767857145</v>
      </c>
      <c r="Q92" s="60"/>
      <c r="R92" s="121">
        <f>R93+R128+R180</f>
        <v>0.183085</v>
      </c>
      <c r="S92" s="60"/>
      <c r="T92" s="122">
        <f>T93+T128+T180</f>
        <v>0.22800000000000001</v>
      </c>
      <c r="U92" s="31"/>
      <c r="V92" s="31"/>
      <c r="W92" s="31"/>
      <c r="X92" s="31"/>
      <c r="Y92" s="31"/>
      <c r="Z92" s="31"/>
      <c r="AA92" s="31"/>
      <c r="AB92" s="31"/>
      <c r="AC92" s="31"/>
      <c r="AD92" s="31"/>
      <c r="AE92" s="31"/>
      <c r="AT92" s="19" t="s">
        <v>71</v>
      </c>
      <c r="AU92" s="19" t="s">
        <v>107</v>
      </c>
      <c r="BK92" s="123">
        <f>BK93+BK128+BK180</f>
        <v>0</v>
      </c>
    </row>
    <row r="93" spans="1:65" s="12" customFormat="1" ht="25.9" customHeight="1">
      <c r="B93" s="124"/>
      <c r="D93" s="125" t="s">
        <v>71</v>
      </c>
      <c r="E93" s="126" t="s">
        <v>136</v>
      </c>
      <c r="F93" s="126" t="s">
        <v>137</v>
      </c>
      <c r="J93" s="127">
        <f>BK93</f>
        <v>0</v>
      </c>
      <c r="L93" s="124"/>
      <c r="M93" s="128"/>
      <c r="N93" s="129"/>
      <c r="O93" s="129"/>
      <c r="P93" s="130">
        <f>P94+P98+P104+P111+P125</f>
        <v>7.9491807678571433</v>
      </c>
      <c r="Q93" s="129"/>
      <c r="R93" s="130">
        <f>R94+R98+R104+R111+R125</f>
        <v>8.9754999999999988E-2</v>
      </c>
      <c r="S93" s="129"/>
      <c r="T93" s="131">
        <f>T94+T98+T104+T111+T125</f>
        <v>0.22800000000000001</v>
      </c>
      <c r="AR93" s="125" t="s">
        <v>80</v>
      </c>
      <c r="AT93" s="132" t="s">
        <v>71</v>
      </c>
      <c r="AU93" s="132" t="s">
        <v>72</v>
      </c>
      <c r="AY93" s="125" t="s">
        <v>138</v>
      </c>
      <c r="BK93" s="133">
        <f>BK94+BK98+BK104+BK111+BK125</f>
        <v>0</v>
      </c>
    </row>
    <row r="94" spans="1:65" s="12" customFormat="1" ht="22.9" customHeight="1">
      <c r="B94" s="124"/>
      <c r="D94" s="125" t="s">
        <v>71</v>
      </c>
      <c r="E94" s="134" t="s">
        <v>139</v>
      </c>
      <c r="F94" s="134" t="s">
        <v>140</v>
      </c>
      <c r="J94" s="135">
        <f>BK94</f>
        <v>0</v>
      </c>
      <c r="L94" s="124"/>
      <c r="M94" s="128"/>
      <c r="N94" s="129"/>
      <c r="O94" s="129"/>
      <c r="P94" s="130">
        <f>SUM(P95:P97)</f>
        <v>0.39</v>
      </c>
      <c r="Q94" s="129"/>
      <c r="R94" s="130">
        <f>SUM(R95:R97)</f>
        <v>2.5239999999999999E-2</v>
      </c>
      <c r="S94" s="129"/>
      <c r="T94" s="131">
        <f>SUM(T95:T97)</f>
        <v>0</v>
      </c>
      <c r="AR94" s="125" t="s">
        <v>80</v>
      </c>
      <c r="AT94" s="132" t="s">
        <v>71</v>
      </c>
      <c r="AU94" s="132" t="s">
        <v>80</v>
      </c>
      <c r="AY94" s="125" t="s">
        <v>138</v>
      </c>
      <c r="BK94" s="133">
        <f>SUM(BK95:BK97)</f>
        <v>0</v>
      </c>
    </row>
    <row r="95" spans="1:65" s="2" customFormat="1" ht="24.2" customHeight="1">
      <c r="A95" s="31"/>
      <c r="B95" s="136"/>
      <c r="C95" s="137" t="s">
        <v>80</v>
      </c>
      <c r="D95" s="137" t="s">
        <v>141</v>
      </c>
      <c r="E95" s="138" t="s">
        <v>533</v>
      </c>
      <c r="F95" s="139" t="s">
        <v>534</v>
      </c>
      <c r="G95" s="140" t="s">
        <v>147</v>
      </c>
      <c r="H95" s="141">
        <f>H97</f>
        <v>2</v>
      </c>
      <c r="I95" s="142"/>
      <c r="J95" s="142">
        <f>ROUND(I95*H95,2)</f>
        <v>0</v>
      </c>
      <c r="K95" s="139" t="s">
        <v>148</v>
      </c>
      <c r="L95" s="32"/>
      <c r="M95" s="143" t="s">
        <v>3</v>
      </c>
      <c r="N95" s="144" t="s">
        <v>43</v>
      </c>
      <c r="O95" s="145">
        <v>0.19500000000000001</v>
      </c>
      <c r="P95" s="145">
        <f>O95*H95</f>
        <v>0.39</v>
      </c>
      <c r="Q95" s="145">
        <v>1.2619999999999999E-2</v>
      </c>
      <c r="R95" s="145">
        <f>Q95*H95</f>
        <v>2.5239999999999999E-2</v>
      </c>
      <c r="S95" s="145">
        <v>0</v>
      </c>
      <c r="T95" s="146">
        <f>S95*H95</f>
        <v>0</v>
      </c>
      <c r="U95" s="31"/>
      <c r="V95" s="31"/>
      <c r="W95" s="31"/>
      <c r="X95" s="31"/>
      <c r="Y95" s="31"/>
      <c r="Z95" s="31"/>
      <c r="AA95" s="31"/>
      <c r="AB95" s="31"/>
      <c r="AC95" s="31"/>
      <c r="AD95" s="31"/>
      <c r="AE95" s="31"/>
      <c r="AR95" s="147" t="s">
        <v>144</v>
      </c>
      <c r="AT95" s="147" t="s">
        <v>141</v>
      </c>
      <c r="AU95" s="147" t="s">
        <v>82</v>
      </c>
      <c r="AY95" s="19" t="s">
        <v>138</v>
      </c>
      <c r="BE95" s="148">
        <f>IF(N95="základní",J95,0)</f>
        <v>0</v>
      </c>
      <c r="BF95" s="148">
        <f>IF(N95="snížená",J95,0)</f>
        <v>0</v>
      </c>
      <c r="BG95" s="148">
        <f>IF(N95="zákl. přenesená",J95,0)</f>
        <v>0</v>
      </c>
      <c r="BH95" s="148">
        <f>IF(N95="sníž. přenesená",J95,0)</f>
        <v>0</v>
      </c>
      <c r="BI95" s="148">
        <f>IF(N95="nulová",J95,0)</f>
        <v>0</v>
      </c>
      <c r="BJ95" s="19" t="s">
        <v>80</v>
      </c>
      <c r="BK95" s="148">
        <f>ROUND(I95*H95,2)</f>
        <v>0</v>
      </c>
      <c r="BL95" s="19" t="s">
        <v>144</v>
      </c>
      <c r="BM95" s="147" t="s">
        <v>762</v>
      </c>
    </row>
    <row r="96" spans="1:65" s="13" customFormat="1">
      <c r="B96" s="149"/>
      <c r="D96" s="150" t="s">
        <v>145</v>
      </c>
      <c r="E96" s="151" t="s">
        <v>3</v>
      </c>
      <c r="F96" s="152" t="s">
        <v>198</v>
      </c>
      <c r="H96" s="151" t="s">
        <v>3</v>
      </c>
      <c r="L96" s="149"/>
      <c r="M96" s="153"/>
      <c r="N96" s="154"/>
      <c r="O96" s="154"/>
      <c r="P96" s="154"/>
      <c r="Q96" s="154"/>
      <c r="R96" s="154"/>
      <c r="S96" s="154"/>
      <c r="T96" s="155"/>
      <c r="AT96" s="151" t="s">
        <v>145</v>
      </c>
      <c r="AU96" s="151" t="s">
        <v>82</v>
      </c>
      <c r="AV96" s="13" t="s">
        <v>80</v>
      </c>
      <c r="AW96" s="13" t="s">
        <v>34</v>
      </c>
      <c r="AX96" s="13" t="s">
        <v>72</v>
      </c>
      <c r="AY96" s="151" t="s">
        <v>138</v>
      </c>
    </row>
    <row r="97" spans="1:65" s="14" customFormat="1">
      <c r="B97" s="156"/>
      <c r="D97" s="150" t="s">
        <v>145</v>
      </c>
      <c r="E97" s="157" t="s">
        <v>3</v>
      </c>
      <c r="F97" s="158">
        <v>2</v>
      </c>
      <c r="H97" s="159">
        <v>2</v>
      </c>
      <c r="L97" s="156"/>
      <c r="M97" s="160"/>
      <c r="N97" s="161"/>
      <c r="O97" s="161"/>
      <c r="P97" s="161"/>
      <c r="Q97" s="161"/>
      <c r="R97" s="161"/>
      <c r="S97" s="161"/>
      <c r="T97" s="162"/>
      <c r="AT97" s="157" t="s">
        <v>145</v>
      </c>
      <c r="AU97" s="157" t="s">
        <v>82</v>
      </c>
      <c r="AV97" s="14" t="s">
        <v>82</v>
      </c>
      <c r="AW97" s="14" t="s">
        <v>34</v>
      </c>
      <c r="AX97" s="14" t="s">
        <v>80</v>
      </c>
      <c r="AY97" s="157" t="s">
        <v>138</v>
      </c>
    </row>
    <row r="98" spans="1:65" s="12" customFormat="1" ht="22.9" customHeight="1">
      <c r="B98" s="124"/>
      <c r="D98" s="125" t="s">
        <v>71</v>
      </c>
      <c r="E98" s="134" t="s">
        <v>169</v>
      </c>
      <c r="F98" s="134" t="s">
        <v>199</v>
      </c>
      <c r="J98" s="135">
        <f>BK98</f>
        <v>0</v>
      </c>
      <c r="L98" s="124"/>
      <c r="M98" s="128"/>
      <c r="N98" s="129"/>
      <c r="O98" s="129"/>
      <c r="P98" s="130">
        <f>SUM(P99:P103)</f>
        <v>1.7489999999999999</v>
      </c>
      <c r="Q98" s="129"/>
      <c r="R98" s="130">
        <f>SUM(R99:R103)</f>
        <v>6.4514999999999989E-2</v>
      </c>
      <c r="S98" s="129"/>
      <c r="T98" s="131">
        <f>SUM(T99:T103)</f>
        <v>0</v>
      </c>
      <c r="AR98" s="125" t="s">
        <v>80</v>
      </c>
      <c r="AT98" s="132" t="s">
        <v>71</v>
      </c>
      <c r="AU98" s="132" t="s">
        <v>80</v>
      </c>
      <c r="AY98" s="125" t="s">
        <v>138</v>
      </c>
      <c r="BK98" s="133">
        <f>SUM(BK99:BK103)</f>
        <v>0</v>
      </c>
    </row>
    <row r="99" spans="1:65" s="2" customFormat="1" ht="14.45" customHeight="1">
      <c r="A99" s="31"/>
      <c r="B99" s="136"/>
      <c r="C99" s="137">
        <v>2</v>
      </c>
      <c r="D99" s="137" t="s">
        <v>141</v>
      </c>
      <c r="E99" s="138" t="s">
        <v>549</v>
      </c>
      <c r="F99" s="139" t="s">
        <v>550</v>
      </c>
      <c r="G99" s="140" t="s">
        <v>173</v>
      </c>
      <c r="H99" s="141">
        <f>H102</f>
        <v>0.82499999999999996</v>
      </c>
      <c r="I99" s="142"/>
      <c r="J99" s="142">
        <f>ROUND(I99*H99,2)</f>
        <v>0</v>
      </c>
      <c r="K99" s="139" t="s">
        <v>148</v>
      </c>
      <c r="L99" s="32"/>
      <c r="M99" s="143" t="s">
        <v>3</v>
      </c>
      <c r="N99" s="144" t="s">
        <v>43</v>
      </c>
      <c r="O99" s="145">
        <v>0.624</v>
      </c>
      <c r="P99" s="145">
        <f>O99*H99</f>
        <v>0.51479999999999992</v>
      </c>
      <c r="Q99" s="145">
        <v>0.04</v>
      </c>
      <c r="R99" s="145">
        <f>Q99*H99</f>
        <v>3.3000000000000002E-2</v>
      </c>
      <c r="S99" s="145">
        <v>0</v>
      </c>
      <c r="T99" s="146">
        <f>S99*H99</f>
        <v>0</v>
      </c>
      <c r="U99" s="31"/>
      <c r="V99" s="31"/>
      <c r="W99" s="31"/>
      <c r="X99" s="31"/>
      <c r="Y99" s="31"/>
      <c r="Z99" s="31"/>
      <c r="AA99" s="31"/>
      <c r="AB99" s="31"/>
      <c r="AC99" s="31"/>
      <c r="AD99" s="31"/>
      <c r="AE99" s="31"/>
      <c r="AR99" s="147" t="s">
        <v>144</v>
      </c>
      <c r="AT99" s="147" t="s">
        <v>141</v>
      </c>
      <c r="AU99" s="147" t="s">
        <v>82</v>
      </c>
      <c r="AY99" s="19" t="s">
        <v>138</v>
      </c>
      <c r="BE99" s="148">
        <f>IF(N99="základní",J99,0)</f>
        <v>0</v>
      </c>
      <c r="BF99" s="148">
        <f>IF(N99="snížená",J99,0)</f>
        <v>0</v>
      </c>
      <c r="BG99" s="148">
        <f>IF(N99="zákl. přenesená",J99,0)</f>
        <v>0</v>
      </c>
      <c r="BH99" s="148">
        <f>IF(N99="sníž. přenesená",J99,0)</f>
        <v>0</v>
      </c>
      <c r="BI99" s="148">
        <f>IF(N99="nulová",J99,0)</f>
        <v>0</v>
      </c>
      <c r="BJ99" s="19" t="s">
        <v>80</v>
      </c>
      <c r="BK99" s="148">
        <f>ROUND(I99*H99,2)</f>
        <v>0</v>
      </c>
      <c r="BL99" s="19" t="s">
        <v>144</v>
      </c>
      <c r="BM99" s="147" t="s">
        <v>551</v>
      </c>
    </row>
    <row r="100" spans="1:65" s="2" customFormat="1" ht="39">
      <c r="A100" s="31"/>
      <c r="B100" s="32"/>
      <c r="C100" s="31"/>
      <c r="D100" s="150" t="s">
        <v>149</v>
      </c>
      <c r="E100" s="31"/>
      <c r="F100" s="163" t="s">
        <v>552</v>
      </c>
      <c r="G100" s="31"/>
      <c r="H100" s="31"/>
      <c r="I100" s="31"/>
      <c r="J100" s="31"/>
      <c r="K100" s="31"/>
      <c r="L100" s="32"/>
      <c r="M100" s="164"/>
      <c r="N100" s="165"/>
      <c r="O100" s="52"/>
      <c r="P100" s="52"/>
      <c r="Q100" s="52"/>
      <c r="R100" s="52"/>
      <c r="S100" s="52"/>
      <c r="T100" s="53"/>
      <c r="U100" s="31"/>
      <c r="V100" s="31"/>
      <c r="W100" s="31"/>
      <c r="X100" s="31"/>
      <c r="Y100" s="31"/>
      <c r="Z100" s="31"/>
      <c r="AA100" s="31"/>
      <c r="AB100" s="31"/>
      <c r="AC100" s="31"/>
      <c r="AD100" s="31"/>
      <c r="AE100" s="31"/>
      <c r="AT100" s="19" t="s">
        <v>149</v>
      </c>
      <c r="AU100" s="19" t="s">
        <v>82</v>
      </c>
    </row>
    <row r="101" spans="1:65" s="13" customFormat="1">
      <c r="B101" s="149"/>
      <c r="D101" s="150" t="s">
        <v>145</v>
      </c>
      <c r="E101" s="151" t="s">
        <v>3</v>
      </c>
      <c r="F101" s="152" t="s">
        <v>763</v>
      </c>
      <c r="H101" s="151" t="s">
        <v>3</v>
      </c>
      <c r="L101" s="149"/>
      <c r="M101" s="153"/>
      <c r="N101" s="154"/>
      <c r="O101" s="154"/>
      <c r="P101" s="154"/>
      <c r="Q101" s="154"/>
      <c r="R101" s="154"/>
      <c r="S101" s="154"/>
      <c r="T101" s="155"/>
      <c r="AT101" s="151" t="s">
        <v>145</v>
      </c>
      <c r="AU101" s="151" t="s">
        <v>82</v>
      </c>
      <c r="AV101" s="13" t="s">
        <v>80</v>
      </c>
      <c r="AW101" s="13" t="s">
        <v>34</v>
      </c>
      <c r="AX101" s="13" t="s">
        <v>72</v>
      </c>
      <c r="AY101" s="151" t="s">
        <v>138</v>
      </c>
    </row>
    <row r="102" spans="1:65" s="14" customFormat="1">
      <c r="B102" s="156"/>
      <c r="D102" s="150" t="s">
        <v>145</v>
      </c>
      <c r="E102" s="157" t="s">
        <v>3</v>
      </c>
      <c r="F102" s="158" t="s">
        <v>1318</v>
      </c>
      <c r="H102" s="159">
        <f>H108*0.15</f>
        <v>0.82499999999999996</v>
      </c>
      <c r="L102" s="156"/>
      <c r="M102" s="160"/>
      <c r="N102" s="161"/>
      <c r="O102" s="161"/>
      <c r="P102" s="161"/>
      <c r="Q102" s="161"/>
      <c r="R102" s="161"/>
      <c r="S102" s="161"/>
      <c r="T102" s="162"/>
      <c r="AT102" s="157" t="s">
        <v>145</v>
      </c>
      <c r="AU102" s="157" t="s">
        <v>82</v>
      </c>
      <c r="AV102" s="14" t="s">
        <v>82</v>
      </c>
      <c r="AW102" s="14" t="s">
        <v>34</v>
      </c>
      <c r="AX102" s="14" t="s">
        <v>80</v>
      </c>
      <c r="AY102" s="157" t="s">
        <v>138</v>
      </c>
    </row>
    <row r="103" spans="1:65" s="2" customFormat="1" ht="24.2" customHeight="1">
      <c r="A103" s="31"/>
      <c r="B103" s="136"/>
      <c r="C103" s="137">
        <v>3</v>
      </c>
      <c r="D103" s="137" t="s">
        <v>141</v>
      </c>
      <c r="E103" s="138" t="s">
        <v>553</v>
      </c>
      <c r="F103" s="139" t="s">
        <v>554</v>
      </c>
      <c r="G103" s="140" t="s">
        <v>173</v>
      </c>
      <c r="H103" s="141">
        <f>H99</f>
        <v>0.82499999999999996</v>
      </c>
      <c r="I103" s="142"/>
      <c r="J103" s="142">
        <f>ROUND(I103*H103,2)</f>
        <v>0</v>
      </c>
      <c r="K103" s="139" t="s">
        <v>148</v>
      </c>
      <c r="L103" s="32"/>
      <c r="M103" s="143" t="s">
        <v>3</v>
      </c>
      <c r="N103" s="144" t="s">
        <v>43</v>
      </c>
      <c r="O103" s="145">
        <v>1.496</v>
      </c>
      <c r="P103" s="145">
        <f>O103*H103</f>
        <v>1.2342</v>
      </c>
      <c r="Q103" s="145">
        <v>3.8199999999999998E-2</v>
      </c>
      <c r="R103" s="145">
        <f>Q103*H103</f>
        <v>3.1514999999999994E-2</v>
      </c>
      <c r="S103" s="145">
        <v>0</v>
      </c>
      <c r="T103" s="146">
        <f>S103*H103</f>
        <v>0</v>
      </c>
      <c r="U103" s="31"/>
      <c r="V103" s="31"/>
      <c r="W103" s="31"/>
      <c r="X103" s="31"/>
      <c r="Y103" s="31"/>
      <c r="Z103" s="31"/>
      <c r="AA103" s="31"/>
      <c r="AB103" s="31"/>
      <c r="AC103" s="31"/>
      <c r="AD103" s="31"/>
      <c r="AE103" s="31"/>
      <c r="AR103" s="147" t="s">
        <v>144</v>
      </c>
      <c r="AT103" s="147" t="s">
        <v>141</v>
      </c>
      <c r="AU103" s="147" t="s">
        <v>82</v>
      </c>
      <c r="AY103" s="19" t="s">
        <v>138</v>
      </c>
      <c r="BE103" s="148">
        <f>IF(N103="základní",J103,0)</f>
        <v>0</v>
      </c>
      <c r="BF103" s="148">
        <f>IF(N103="snížená",J103,0)</f>
        <v>0</v>
      </c>
      <c r="BG103" s="148">
        <f>IF(N103="zákl. přenesená",J103,0)</f>
        <v>0</v>
      </c>
      <c r="BH103" s="148">
        <f>IF(N103="sníž. přenesená",J103,0)</f>
        <v>0</v>
      </c>
      <c r="BI103" s="148">
        <f>IF(N103="nulová",J103,0)</f>
        <v>0</v>
      </c>
      <c r="BJ103" s="19" t="s">
        <v>80</v>
      </c>
      <c r="BK103" s="148">
        <f>ROUND(I103*H103,2)</f>
        <v>0</v>
      </c>
      <c r="BL103" s="19" t="s">
        <v>144</v>
      </c>
      <c r="BM103" s="147" t="s">
        <v>555</v>
      </c>
    </row>
    <row r="104" spans="1:65" s="12" customFormat="1" ht="22.9" customHeight="1">
      <c r="B104" s="124"/>
      <c r="D104" s="125" t="s">
        <v>71</v>
      </c>
      <c r="E104" s="134" t="s">
        <v>178</v>
      </c>
      <c r="F104" s="134" t="s">
        <v>247</v>
      </c>
      <c r="J104" s="135">
        <f>BK104</f>
        <v>0</v>
      </c>
      <c r="L104" s="124"/>
      <c r="M104" s="128"/>
      <c r="N104" s="129"/>
      <c r="O104" s="129"/>
      <c r="P104" s="130">
        <f>SUM(P105:P110)</f>
        <v>3.9940000000000002</v>
      </c>
      <c r="Q104" s="129"/>
      <c r="R104" s="130">
        <f>SUM(R105:R110)</f>
        <v>0</v>
      </c>
      <c r="S104" s="129"/>
      <c r="T104" s="131">
        <f>SUM(T105:T110)</f>
        <v>0.22800000000000001</v>
      </c>
      <c r="AR104" s="125" t="s">
        <v>80</v>
      </c>
      <c r="AT104" s="132" t="s">
        <v>71</v>
      </c>
      <c r="AU104" s="132" t="s">
        <v>80</v>
      </c>
      <c r="AY104" s="125" t="s">
        <v>138</v>
      </c>
      <c r="BK104" s="133">
        <f>SUM(BK105:BK110)</f>
        <v>0</v>
      </c>
    </row>
    <row r="105" spans="1:65" s="2" customFormat="1" ht="49.15" customHeight="1">
      <c r="A105" s="31"/>
      <c r="B105" s="136"/>
      <c r="C105" s="137">
        <v>4</v>
      </c>
      <c r="D105" s="137" t="s">
        <v>141</v>
      </c>
      <c r="E105" s="138" t="s">
        <v>556</v>
      </c>
      <c r="F105" s="139" t="s">
        <v>557</v>
      </c>
      <c r="G105" s="140" t="s">
        <v>147</v>
      </c>
      <c r="H105" s="141">
        <f>H107</f>
        <v>2</v>
      </c>
      <c r="I105" s="142"/>
      <c r="J105" s="142">
        <f>ROUND(I105*H105,2)</f>
        <v>0</v>
      </c>
      <c r="K105" s="139" t="s">
        <v>148</v>
      </c>
      <c r="L105" s="32"/>
      <c r="M105" s="143" t="s">
        <v>3</v>
      </c>
      <c r="N105" s="144" t="s">
        <v>43</v>
      </c>
      <c r="O105" s="145">
        <v>0.16</v>
      </c>
      <c r="P105" s="145">
        <f>O105*H105</f>
        <v>0.32</v>
      </c>
      <c r="Q105" s="145">
        <v>0</v>
      </c>
      <c r="R105" s="145">
        <f>Q105*H105</f>
        <v>0</v>
      </c>
      <c r="S105" s="145">
        <v>4.0000000000000001E-3</v>
      </c>
      <c r="T105" s="146">
        <f>S105*H105</f>
        <v>8.0000000000000002E-3</v>
      </c>
      <c r="U105" s="31"/>
      <c r="V105" s="31"/>
      <c r="W105" s="31"/>
      <c r="X105" s="31"/>
      <c r="Y105" s="31"/>
      <c r="Z105" s="31"/>
      <c r="AA105" s="31"/>
      <c r="AB105" s="31"/>
      <c r="AC105" s="31"/>
      <c r="AD105" s="31"/>
      <c r="AE105" s="31"/>
      <c r="AR105" s="147" t="s">
        <v>144</v>
      </c>
      <c r="AT105" s="147" t="s">
        <v>141</v>
      </c>
      <c r="AU105" s="147" t="s">
        <v>82</v>
      </c>
      <c r="AY105" s="19" t="s">
        <v>138</v>
      </c>
      <c r="BE105" s="148">
        <f>IF(N105="základní",J105,0)</f>
        <v>0</v>
      </c>
      <c r="BF105" s="148">
        <f>IF(N105="snížená",J105,0)</f>
        <v>0</v>
      </c>
      <c r="BG105" s="148">
        <f>IF(N105="zákl. přenesená",J105,0)</f>
        <v>0</v>
      </c>
      <c r="BH105" s="148">
        <f>IF(N105="sníž. přenesená",J105,0)</f>
        <v>0</v>
      </c>
      <c r="BI105" s="148">
        <f>IF(N105="nulová",J105,0)</f>
        <v>0</v>
      </c>
      <c r="BJ105" s="19" t="s">
        <v>80</v>
      </c>
      <c r="BK105" s="148">
        <f>ROUND(I105*H105,2)</f>
        <v>0</v>
      </c>
      <c r="BL105" s="19" t="s">
        <v>144</v>
      </c>
      <c r="BM105" s="147" t="s">
        <v>764</v>
      </c>
    </row>
    <row r="106" spans="1:65" s="13" customFormat="1">
      <c r="B106" s="149"/>
      <c r="D106" s="150" t="s">
        <v>145</v>
      </c>
      <c r="E106" s="151" t="s">
        <v>3</v>
      </c>
      <c r="F106" s="152" t="s">
        <v>763</v>
      </c>
      <c r="H106" s="151" t="s">
        <v>3</v>
      </c>
      <c r="L106" s="149"/>
      <c r="M106" s="153"/>
      <c r="N106" s="154"/>
      <c r="O106" s="154"/>
      <c r="P106" s="154"/>
      <c r="Q106" s="154"/>
      <c r="R106" s="154"/>
      <c r="S106" s="154"/>
      <c r="T106" s="155"/>
      <c r="AT106" s="151" t="s">
        <v>145</v>
      </c>
      <c r="AU106" s="151" t="s">
        <v>82</v>
      </c>
      <c r="AV106" s="13" t="s">
        <v>80</v>
      </c>
      <c r="AW106" s="13" t="s">
        <v>34</v>
      </c>
      <c r="AX106" s="13" t="s">
        <v>72</v>
      </c>
      <c r="AY106" s="151" t="s">
        <v>138</v>
      </c>
    </row>
    <row r="107" spans="1:65" s="14" customFormat="1">
      <c r="B107" s="156"/>
      <c r="D107" s="150" t="s">
        <v>145</v>
      </c>
      <c r="E107" s="157" t="s">
        <v>3</v>
      </c>
      <c r="F107" s="158">
        <v>2</v>
      </c>
      <c r="H107" s="159">
        <v>2</v>
      </c>
      <c r="L107" s="156"/>
      <c r="M107" s="160"/>
      <c r="N107" s="161"/>
      <c r="O107" s="161"/>
      <c r="P107" s="161"/>
      <c r="Q107" s="161"/>
      <c r="R107" s="161"/>
      <c r="S107" s="161"/>
      <c r="T107" s="162"/>
      <c r="AT107" s="157" t="s">
        <v>145</v>
      </c>
      <c r="AU107" s="157" t="s">
        <v>82</v>
      </c>
      <c r="AV107" s="14" t="s">
        <v>82</v>
      </c>
      <c r="AW107" s="14" t="s">
        <v>34</v>
      </c>
      <c r="AX107" s="14" t="s">
        <v>80</v>
      </c>
      <c r="AY107" s="157" t="s">
        <v>138</v>
      </c>
    </row>
    <row r="108" spans="1:65" s="2" customFormat="1" ht="37.9" customHeight="1">
      <c r="A108" s="31"/>
      <c r="B108" s="136"/>
      <c r="C108" s="137">
        <v>5</v>
      </c>
      <c r="D108" s="137" t="s">
        <v>141</v>
      </c>
      <c r="E108" s="138" t="s">
        <v>567</v>
      </c>
      <c r="F108" s="139" t="s">
        <v>568</v>
      </c>
      <c r="G108" s="140" t="s">
        <v>187</v>
      </c>
      <c r="H108" s="141">
        <f>H110</f>
        <v>5.5</v>
      </c>
      <c r="I108" s="142"/>
      <c r="J108" s="142">
        <f>ROUND(I108*H108,2)</f>
        <v>0</v>
      </c>
      <c r="K108" s="139" t="s">
        <v>148</v>
      </c>
      <c r="L108" s="32"/>
      <c r="M108" s="143" t="s">
        <v>3</v>
      </c>
      <c r="N108" s="144" t="s">
        <v>43</v>
      </c>
      <c r="O108" s="145">
        <v>0.66800000000000004</v>
      </c>
      <c r="P108" s="145">
        <f>O108*H108</f>
        <v>3.6740000000000004</v>
      </c>
      <c r="Q108" s="145">
        <v>0</v>
      </c>
      <c r="R108" s="145">
        <f>Q108*H108</f>
        <v>0</v>
      </c>
      <c r="S108" s="145">
        <v>0.04</v>
      </c>
      <c r="T108" s="146">
        <f>S108*H108</f>
        <v>0.22</v>
      </c>
      <c r="U108" s="31"/>
      <c r="V108" s="31"/>
      <c r="W108" s="31"/>
      <c r="X108" s="31"/>
      <c r="Y108" s="31"/>
      <c r="Z108" s="31"/>
      <c r="AA108" s="31"/>
      <c r="AB108" s="31"/>
      <c r="AC108" s="31"/>
      <c r="AD108" s="31"/>
      <c r="AE108" s="31"/>
      <c r="AR108" s="147" t="s">
        <v>144</v>
      </c>
      <c r="AT108" s="147" t="s">
        <v>141</v>
      </c>
      <c r="AU108" s="147" t="s">
        <v>82</v>
      </c>
      <c r="AY108" s="19" t="s">
        <v>138</v>
      </c>
      <c r="BE108" s="148">
        <f>IF(N108="základní",J108,0)</f>
        <v>0</v>
      </c>
      <c r="BF108" s="148">
        <f>IF(N108="snížená",J108,0)</f>
        <v>0</v>
      </c>
      <c r="BG108" s="148">
        <f>IF(N108="zákl. přenesená",J108,0)</f>
        <v>0</v>
      </c>
      <c r="BH108" s="148">
        <f>IF(N108="sníž. přenesená",J108,0)</f>
        <v>0</v>
      </c>
      <c r="BI108" s="148">
        <f>IF(N108="nulová",J108,0)</f>
        <v>0</v>
      </c>
      <c r="BJ108" s="19" t="s">
        <v>80</v>
      </c>
      <c r="BK108" s="148">
        <f>ROUND(I108*H108,2)</f>
        <v>0</v>
      </c>
      <c r="BL108" s="19" t="s">
        <v>144</v>
      </c>
      <c r="BM108" s="147" t="s">
        <v>566</v>
      </c>
    </row>
    <row r="109" spans="1:65" s="13" customFormat="1">
      <c r="B109" s="149"/>
      <c r="D109" s="150" t="s">
        <v>145</v>
      </c>
      <c r="E109" s="151" t="s">
        <v>3</v>
      </c>
      <c r="F109" s="152" t="s">
        <v>763</v>
      </c>
      <c r="H109" s="151" t="s">
        <v>3</v>
      </c>
      <c r="L109" s="149"/>
      <c r="M109" s="153"/>
      <c r="N109" s="154"/>
      <c r="O109" s="154"/>
      <c r="P109" s="154"/>
      <c r="Q109" s="154"/>
      <c r="R109" s="154"/>
      <c r="S109" s="154"/>
      <c r="T109" s="155"/>
      <c r="AT109" s="151" t="s">
        <v>145</v>
      </c>
      <c r="AU109" s="151" t="s">
        <v>82</v>
      </c>
      <c r="AV109" s="13" t="s">
        <v>80</v>
      </c>
      <c r="AW109" s="13" t="s">
        <v>34</v>
      </c>
      <c r="AX109" s="13" t="s">
        <v>72</v>
      </c>
      <c r="AY109" s="151" t="s">
        <v>138</v>
      </c>
    </row>
    <row r="110" spans="1:65" s="14" customFormat="1">
      <c r="B110" s="156"/>
      <c r="D110" s="150" t="s">
        <v>145</v>
      </c>
      <c r="E110" s="157" t="s">
        <v>3</v>
      </c>
      <c r="F110" s="158" t="s">
        <v>1317</v>
      </c>
      <c r="H110" s="159">
        <v>5.5</v>
      </c>
      <c r="L110" s="156"/>
      <c r="M110" s="160"/>
      <c r="N110" s="161"/>
      <c r="O110" s="161"/>
      <c r="P110" s="161"/>
      <c r="Q110" s="161"/>
      <c r="R110" s="161"/>
      <c r="S110" s="161"/>
      <c r="T110" s="162"/>
      <c r="AT110" s="157" t="s">
        <v>145</v>
      </c>
      <c r="AU110" s="157" t="s">
        <v>82</v>
      </c>
      <c r="AV110" s="14" t="s">
        <v>82</v>
      </c>
      <c r="AW110" s="14" t="s">
        <v>34</v>
      </c>
      <c r="AX110" s="14" t="s">
        <v>80</v>
      </c>
      <c r="AY110" s="157" t="s">
        <v>138</v>
      </c>
    </row>
    <row r="111" spans="1:65" s="12" customFormat="1" ht="22.9" customHeight="1">
      <c r="B111" s="124"/>
      <c r="D111" s="125" t="s">
        <v>71</v>
      </c>
      <c r="E111" s="134" t="s">
        <v>265</v>
      </c>
      <c r="F111" s="134" t="s">
        <v>266</v>
      </c>
      <c r="J111" s="135">
        <f>BK111</f>
        <v>0</v>
      </c>
      <c r="L111" s="124"/>
      <c r="M111" s="128"/>
      <c r="N111" s="129"/>
      <c r="O111" s="129"/>
      <c r="P111" s="130">
        <f>SUM(P112:P124)</f>
        <v>0.93791362499999997</v>
      </c>
      <c r="Q111" s="129"/>
      <c r="R111" s="130">
        <f>SUM(R112:R124)</f>
        <v>0</v>
      </c>
      <c r="S111" s="129"/>
      <c r="T111" s="131">
        <f>SUM(T112:T124)</f>
        <v>0</v>
      </c>
      <c r="AR111" s="125" t="s">
        <v>80</v>
      </c>
      <c r="AT111" s="132" t="s">
        <v>71</v>
      </c>
      <c r="AU111" s="132" t="s">
        <v>80</v>
      </c>
      <c r="AY111" s="125" t="s">
        <v>138</v>
      </c>
      <c r="BK111" s="133">
        <f>SUM(BK112:BK124)</f>
        <v>0</v>
      </c>
    </row>
    <row r="112" spans="1:65" s="2" customFormat="1" ht="37.9" customHeight="1">
      <c r="A112" s="31"/>
      <c r="B112" s="136"/>
      <c r="C112" s="137">
        <v>6</v>
      </c>
      <c r="D112" s="137" t="s">
        <v>141</v>
      </c>
      <c r="E112" s="138" t="s">
        <v>267</v>
      </c>
      <c r="F112" s="139" t="s">
        <v>268</v>
      </c>
      <c r="G112" s="140" t="s">
        <v>160</v>
      </c>
      <c r="H112" s="141">
        <f>H99*0.15*1.9</f>
        <v>0.23512499999999997</v>
      </c>
      <c r="I112" s="142"/>
      <c r="J112" s="142">
        <f>ROUND(I112*H112,2)</f>
        <v>0</v>
      </c>
      <c r="K112" s="139" t="s">
        <v>148</v>
      </c>
      <c r="L112" s="32"/>
      <c r="M112" s="143" t="s">
        <v>3</v>
      </c>
      <c r="N112" s="144" t="s">
        <v>43</v>
      </c>
      <c r="O112" s="145">
        <v>2.42</v>
      </c>
      <c r="P112" s="145">
        <f>O112*H112</f>
        <v>0.56900249999999997</v>
      </c>
      <c r="Q112" s="145">
        <v>0</v>
      </c>
      <c r="R112" s="145">
        <f>Q112*H112</f>
        <v>0</v>
      </c>
      <c r="S112" s="145">
        <v>0</v>
      </c>
      <c r="T112" s="146">
        <f>S112*H112</f>
        <v>0</v>
      </c>
      <c r="U112" s="31"/>
      <c r="V112" s="31"/>
      <c r="W112" s="31"/>
      <c r="X112" s="31"/>
      <c r="Y112" s="31"/>
      <c r="Z112" s="31"/>
      <c r="AA112" s="31"/>
      <c r="AB112" s="31"/>
      <c r="AC112" s="31"/>
      <c r="AD112" s="31"/>
      <c r="AE112" s="31"/>
      <c r="AR112" s="147" t="s">
        <v>144</v>
      </c>
      <c r="AT112" s="147" t="s">
        <v>141</v>
      </c>
      <c r="AU112" s="147" t="s">
        <v>82</v>
      </c>
      <c r="AY112" s="19" t="s">
        <v>138</v>
      </c>
      <c r="BE112" s="148">
        <f>IF(N112="základní",J112,0)</f>
        <v>0</v>
      </c>
      <c r="BF112" s="148">
        <f>IF(N112="snížená",J112,0)</f>
        <v>0</v>
      </c>
      <c r="BG112" s="148">
        <f>IF(N112="zákl. přenesená",J112,0)</f>
        <v>0</v>
      </c>
      <c r="BH112" s="148">
        <f>IF(N112="sníž. přenesená",J112,0)</f>
        <v>0</v>
      </c>
      <c r="BI112" s="148">
        <f>IF(N112="nulová",J112,0)</f>
        <v>0</v>
      </c>
      <c r="BJ112" s="19" t="s">
        <v>80</v>
      </c>
      <c r="BK112" s="148">
        <f>ROUND(I112*H112,2)</f>
        <v>0</v>
      </c>
      <c r="BL112" s="19" t="s">
        <v>144</v>
      </c>
      <c r="BM112" s="147" t="s">
        <v>571</v>
      </c>
    </row>
    <row r="113" spans="1:65" s="2" customFormat="1" ht="146.25">
      <c r="A113" s="31"/>
      <c r="B113" s="32"/>
      <c r="C113" s="31"/>
      <c r="D113" s="150" t="s">
        <v>149</v>
      </c>
      <c r="E113" s="31"/>
      <c r="F113" s="163" t="s">
        <v>270</v>
      </c>
      <c r="G113" s="31"/>
      <c r="H113" s="31"/>
      <c r="I113" s="31"/>
      <c r="J113" s="31"/>
      <c r="K113" s="31"/>
      <c r="L113" s="32"/>
      <c r="M113" s="164"/>
      <c r="N113" s="165"/>
      <c r="O113" s="52"/>
      <c r="P113" s="52"/>
      <c r="Q113" s="52"/>
      <c r="R113" s="52"/>
      <c r="S113" s="52"/>
      <c r="T113" s="53"/>
      <c r="U113" s="31"/>
      <c r="V113" s="31"/>
      <c r="W113" s="31"/>
      <c r="X113" s="31"/>
      <c r="Y113" s="31"/>
      <c r="Z113" s="31"/>
      <c r="AA113" s="31"/>
      <c r="AB113" s="31"/>
      <c r="AC113" s="31"/>
      <c r="AD113" s="31"/>
      <c r="AE113" s="31"/>
      <c r="AT113" s="19" t="s">
        <v>149</v>
      </c>
      <c r="AU113" s="19" t="s">
        <v>82</v>
      </c>
    </row>
    <row r="114" spans="1:65" s="2" customFormat="1" ht="62.65" customHeight="1">
      <c r="A114" s="31"/>
      <c r="B114" s="136"/>
      <c r="C114" s="137">
        <v>7</v>
      </c>
      <c r="D114" s="137" t="s">
        <v>141</v>
      </c>
      <c r="E114" s="138" t="s">
        <v>271</v>
      </c>
      <c r="F114" s="139" t="s">
        <v>272</v>
      </c>
      <c r="G114" s="140" t="s">
        <v>160</v>
      </c>
      <c r="H114" s="141">
        <f>H112*5</f>
        <v>1.1756249999999999</v>
      </c>
      <c r="I114" s="142"/>
      <c r="J114" s="142">
        <f>ROUND(I114*H114,2)</f>
        <v>0</v>
      </c>
      <c r="K114" s="139" t="s">
        <v>148</v>
      </c>
      <c r="L114" s="32"/>
      <c r="M114" s="143" t="s">
        <v>3</v>
      </c>
      <c r="N114" s="144" t="s">
        <v>43</v>
      </c>
      <c r="O114" s="145">
        <v>0.26</v>
      </c>
      <c r="P114" s="145">
        <f>O114*H114</f>
        <v>0.3056625</v>
      </c>
      <c r="Q114" s="145">
        <v>0</v>
      </c>
      <c r="R114" s="145">
        <f>Q114*H114</f>
        <v>0</v>
      </c>
      <c r="S114" s="145">
        <v>0</v>
      </c>
      <c r="T114" s="146">
        <f>S114*H114</f>
        <v>0</v>
      </c>
      <c r="U114" s="31"/>
      <c r="V114" s="31"/>
      <c r="W114" s="31"/>
      <c r="X114" s="31"/>
      <c r="Y114" s="31"/>
      <c r="Z114" s="31"/>
      <c r="AA114" s="31"/>
      <c r="AB114" s="31"/>
      <c r="AC114" s="31"/>
      <c r="AD114" s="31"/>
      <c r="AE114" s="31"/>
      <c r="AR114" s="147" t="s">
        <v>144</v>
      </c>
      <c r="AT114" s="147" t="s">
        <v>141</v>
      </c>
      <c r="AU114" s="147" t="s">
        <v>82</v>
      </c>
      <c r="AY114" s="19" t="s">
        <v>138</v>
      </c>
      <c r="BE114" s="148">
        <f>IF(N114="základní",J114,0)</f>
        <v>0</v>
      </c>
      <c r="BF114" s="148">
        <f>IF(N114="snížená",J114,0)</f>
        <v>0</v>
      </c>
      <c r="BG114" s="148">
        <f>IF(N114="zákl. přenesená",J114,0)</f>
        <v>0</v>
      </c>
      <c r="BH114" s="148">
        <f>IF(N114="sníž. přenesená",J114,0)</f>
        <v>0</v>
      </c>
      <c r="BI114" s="148">
        <f>IF(N114="nulová",J114,0)</f>
        <v>0</v>
      </c>
      <c r="BJ114" s="19" t="s">
        <v>80</v>
      </c>
      <c r="BK114" s="148">
        <f>ROUND(I114*H114,2)</f>
        <v>0</v>
      </c>
      <c r="BL114" s="19" t="s">
        <v>144</v>
      </c>
      <c r="BM114" s="147" t="s">
        <v>572</v>
      </c>
    </row>
    <row r="115" spans="1:65" s="2" customFormat="1" ht="146.25">
      <c r="A115" s="31"/>
      <c r="B115" s="32"/>
      <c r="C115" s="31"/>
      <c r="D115" s="150" t="s">
        <v>149</v>
      </c>
      <c r="E115" s="31"/>
      <c r="F115" s="163" t="s">
        <v>270</v>
      </c>
      <c r="G115" s="31"/>
      <c r="H115" s="31"/>
      <c r="I115" s="31"/>
      <c r="J115" s="31"/>
      <c r="K115" s="31"/>
      <c r="L115" s="32"/>
      <c r="M115" s="164"/>
      <c r="N115" s="165"/>
      <c r="O115" s="52"/>
      <c r="P115" s="52"/>
      <c r="Q115" s="52"/>
      <c r="R115" s="52"/>
      <c r="S115" s="52"/>
      <c r="T115" s="53"/>
      <c r="U115" s="31"/>
      <c r="V115" s="31"/>
      <c r="W115" s="31"/>
      <c r="X115" s="31"/>
      <c r="Y115" s="31"/>
      <c r="Z115" s="31"/>
      <c r="AA115" s="31"/>
      <c r="AB115" s="31"/>
      <c r="AC115" s="31"/>
      <c r="AD115" s="31"/>
      <c r="AE115" s="31"/>
      <c r="AT115" s="19" t="s">
        <v>149</v>
      </c>
      <c r="AU115" s="19" t="s">
        <v>82</v>
      </c>
    </row>
    <row r="116" spans="1:65" s="14" customFormat="1">
      <c r="B116" s="156"/>
      <c r="D116" s="150" t="s">
        <v>145</v>
      </c>
      <c r="F116" s="158" t="s">
        <v>1319</v>
      </c>
      <c r="H116" s="159">
        <f>H114</f>
        <v>1.1756249999999999</v>
      </c>
      <c r="L116" s="156"/>
      <c r="M116" s="160"/>
      <c r="N116" s="161"/>
      <c r="O116" s="161"/>
      <c r="P116" s="161"/>
      <c r="Q116" s="161"/>
      <c r="R116" s="161"/>
      <c r="S116" s="161"/>
      <c r="T116" s="162"/>
      <c r="AT116" s="157" t="s">
        <v>145</v>
      </c>
      <c r="AU116" s="157" t="s">
        <v>82</v>
      </c>
      <c r="AV116" s="14" t="s">
        <v>82</v>
      </c>
      <c r="AW116" s="14" t="s">
        <v>4</v>
      </c>
      <c r="AX116" s="14" t="s">
        <v>80</v>
      </c>
      <c r="AY116" s="157" t="s">
        <v>138</v>
      </c>
    </row>
    <row r="117" spans="1:65" s="2" customFormat="1" ht="24.2" customHeight="1">
      <c r="A117" s="31"/>
      <c r="B117" s="136"/>
      <c r="C117" s="137">
        <v>8</v>
      </c>
      <c r="D117" s="137" t="s">
        <v>141</v>
      </c>
      <c r="E117" s="138" t="s">
        <v>274</v>
      </c>
      <c r="F117" s="139" t="s">
        <v>275</v>
      </c>
      <c r="G117" s="140" t="s">
        <v>160</v>
      </c>
      <c r="H117" s="141">
        <f>H112</f>
        <v>0.23512499999999997</v>
      </c>
      <c r="I117" s="142"/>
      <c r="J117" s="142">
        <f>ROUND(I117*H117,2)</f>
        <v>0</v>
      </c>
      <c r="K117" s="139" t="s">
        <v>148</v>
      </c>
      <c r="L117" s="32"/>
      <c r="M117" s="143" t="s">
        <v>3</v>
      </c>
      <c r="N117" s="144" t="s">
        <v>43</v>
      </c>
      <c r="O117" s="145">
        <v>0.125</v>
      </c>
      <c r="P117" s="145">
        <f>O117*H117</f>
        <v>2.9390624999999997E-2</v>
      </c>
      <c r="Q117" s="145">
        <v>0</v>
      </c>
      <c r="R117" s="145">
        <f>Q117*H117</f>
        <v>0</v>
      </c>
      <c r="S117" s="145">
        <v>0</v>
      </c>
      <c r="T117" s="146">
        <f>S117*H117</f>
        <v>0</v>
      </c>
      <c r="U117" s="31"/>
      <c r="V117" s="31"/>
      <c r="W117" s="31"/>
      <c r="X117" s="31"/>
      <c r="Y117" s="31"/>
      <c r="Z117" s="31"/>
      <c r="AA117" s="31"/>
      <c r="AB117" s="31"/>
      <c r="AC117" s="31"/>
      <c r="AD117" s="31"/>
      <c r="AE117" s="31"/>
      <c r="AR117" s="147" t="s">
        <v>144</v>
      </c>
      <c r="AT117" s="147" t="s">
        <v>141</v>
      </c>
      <c r="AU117" s="147" t="s">
        <v>82</v>
      </c>
      <c r="AY117" s="19" t="s">
        <v>138</v>
      </c>
      <c r="BE117" s="148">
        <f>IF(N117="základní",J117,0)</f>
        <v>0</v>
      </c>
      <c r="BF117" s="148">
        <f>IF(N117="snížená",J117,0)</f>
        <v>0</v>
      </c>
      <c r="BG117" s="148">
        <f>IF(N117="zákl. přenesená",J117,0)</f>
        <v>0</v>
      </c>
      <c r="BH117" s="148">
        <f>IF(N117="sníž. přenesená",J117,0)</f>
        <v>0</v>
      </c>
      <c r="BI117" s="148">
        <f>IF(N117="nulová",J117,0)</f>
        <v>0</v>
      </c>
      <c r="BJ117" s="19" t="s">
        <v>80</v>
      </c>
      <c r="BK117" s="148">
        <f>ROUND(I117*H117,2)</f>
        <v>0</v>
      </c>
      <c r="BL117" s="19" t="s">
        <v>144</v>
      </c>
      <c r="BM117" s="147" t="s">
        <v>573</v>
      </c>
    </row>
    <row r="118" spans="1:65" s="2" customFormat="1" ht="87.75">
      <c r="A118" s="31"/>
      <c r="B118" s="32"/>
      <c r="C118" s="31"/>
      <c r="D118" s="150" t="s">
        <v>149</v>
      </c>
      <c r="E118" s="31"/>
      <c r="F118" s="163" t="s">
        <v>277</v>
      </c>
      <c r="G118" s="31"/>
      <c r="H118" s="31"/>
      <c r="I118" s="31"/>
      <c r="J118" s="31"/>
      <c r="K118" s="31"/>
      <c r="L118" s="32"/>
      <c r="M118" s="164"/>
      <c r="N118" s="165"/>
      <c r="O118" s="52"/>
      <c r="P118" s="52"/>
      <c r="Q118" s="52"/>
      <c r="R118" s="52"/>
      <c r="S118" s="52"/>
      <c r="T118" s="53"/>
      <c r="U118" s="31"/>
      <c r="V118" s="31"/>
      <c r="W118" s="31"/>
      <c r="X118" s="31"/>
      <c r="Y118" s="31"/>
      <c r="Z118" s="31"/>
      <c r="AA118" s="31"/>
      <c r="AB118" s="31"/>
      <c r="AC118" s="31"/>
      <c r="AD118" s="31"/>
      <c r="AE118" s="31"/>
      <c r="AT118" s="19" t="s">
        <v>149</v>
      </c>
      <c r="AU118" s="19" t="s">
        <v>82</v>
      </c>
    </row>
    <row r="119" spans="1:65" s="2" customFormat="1" ht="37.9" customHeight="1">
      <c r="A119" s="31"/>
      <c r="B119" s="136"/>
      <c r="C119" s="137">
        <v>9</v>
      </c>
      <c r="D119" s="137" t="s">
        <v>141</v>
      </c>
      <c r="E119" s="138" t="s">
        <v>278</v>
      </c>
      <c r="F119" s="139" t="s">
        <v>279</v>
      </c>
      <c r="G119" s="140" t="s">
        <v>160</v>
      </c>
      <c r="H119" s="141">
        <f>H117*24</f>
        <v>5.6429999999999989</v>
      </c>
      <c r="I119" s="142"/>
      <c r="J119" s="142">
        <f>ROUND(I119*H119,2)</f>
        <v>0</v>
      </c>
      <c r="K119" s="139" t="s">
        <v>148</v>
      </c>
      <c r="L119" s="32"/>
      <c r="M119" s="143" t="s">
        <v>3</v>
      </c>
      <c r="N119" s="144" t="s">
        <v>43</v>
      </c>
      <c r="O119" s="145">
        <v>6.0000000000000001E-3</v>
      </c>
      <c r="P119" s="145">
        <f>O119*H119</f>
        <v>3.3857999999999992E-2</v>
      </c>
      <c r="Q119" s="145">
        <v>0</v>
      </c>
      <c r="R119" s="145">
        <f>Q119*H119</f>
        <v>0</v>
      </c>
      <c r="S119" s="145">
        <v>0</v>
      </c>
      <c r="T119" s="146">
        <f>S119*H119</f>
        <v>0</v>
      </c>
      <c r="U119" s="31"/>
      <c r="V119" s="31"/>
      <c r="W119" s="31"/>
      <c r="X119" s="31"/>
      <c r="Y119" s="31"/>
      <c r="Z119" s="31"/>
      <c r="AA119" s="31"/>
      <c r="AB119" s="31"/>
      <c r="AC119" s="31"/>
      <c r="AD119" s="31"/>
      <c r="AE119" s="31"/>
      <c r="AR119" s="147" t="s">
        <v>144</v>
      </c>
      <c r="AT119" s="147" t="s">
        <v>141</v>
      </c>
      <c r="AU119" s="147" t="s">
        <v>82</v>
      </c>
      <c r="AY119" s="19" t="s">
        <v>138</v>
      </c>
      <c r="BE119" s="148">
        <f>IF(N119="základní",J119,0)</f>
        <v>0</v>
      </c>
      <c r="BF119" s="148">
        <f>IF(N119="snížená",J119,0)</f>
        <v>0</v>
      </c>
      <c r="BG119" s="148">
        <f>IF(N119="zákl. přenesená",J119,0)</f>
        <v>0</v>
      </c>
      <c r="BH119" s="148">
        <f>IF(N119="sníž. přenesená",J119,0)</f>
        <v>0</v>
      </c>
      <c r="BI119" s="148">
        <f>IF(N119="nulová",J119,0)</f>
        <v>0</v>
      </c>
      <c r="BJ119" s="19" t="s">
        <v>80</v>
      </c>
      <c r="BK119" s="148">
        <f>ROUND(I119*H119,2)</f>
        <v>0</v>
      </c>
      <c r="BL119" s="19" t="s">
        <v>144</v>
      </c>
      <c r="BM119" s="147" t="s">
        <v>574</v>
      </c>
    </row>
    <row r="120" spans="1:65" s="2" customFormat="1" ht="87.75">
      <c r="A120" s="31"/>
      <c r="B120" s="32"/>
      <c r="C120" s="31"/>
      <c r="D120" s="150" t="s">
        <v>149</v>
      </c>
      <c r="E120" s="31"/>
      <c r="F120" s="163" t="s">
        <v>277</v>
      </c>
      <c r="G120" s="31"/>
      <c r="H120" s="31"/>
      <c r="I120" s="31"/>
      <c r="J120" s="31"/>
      <c r="K120" s="31"/>
      <c r="L120" s="32"/>
      <c r="M120" s="164"/>
      <c r="N120" s="165"/>
      <c r="O120" s="52"/>
      <c r="P120" s="52"/>
      <c r="Q120" s="52"/>
      <c r="R120" s="52"/>
      <c r="S120" s="52"/>
      <c r="T120" s="53"/>
      <c r="U120" s="31"/>
      <c r="V120" s="31"/>
      <c r="W120" s="31"/>
      <c r="X120" s="31"/>
      <c r="Y120" s="31"/>
      <c r="Z120" s="31"/>
      <c r="AA120" s="31"/>
      <c r="AB120" s="31"/>
      <c r="AC120" s="31"/>
      <c r="AD120" s="31"/>
      <c r="AE120" s="31"/>
      <c r="AT120" s="19" t="s">
        <v>149</v>
      </c>
      <c r="AU120" s="19" t="s">
        <v>82</v>
      </c>
    </row>
    <row r="121" spans="1:65" s="14" customFormat="1">
      <c r="B121" s="156"/>
      <c r="D121" s="150" t="s">
        <v>145</v>
      </c>
      <c r="F121" s="158" t="s">
        <v>1320</v>
      </c>
      <c r="H121" s="159">
        <f>H119</f>
        <v>5.6429999999999989</v>
      </c>
      <c r="L121" s="156"/>
      <c r="M121" s="160"/>
      <c r="N121" s="161"/>
      <c r="O121" s="161"/>
      <c r="P121" s="161"/>
      <c r="Q121" s="161"/>
      <c r="R121" s="161"/>
      <c r="S121" s="161"/>
      <c r="T121" s="162"/>
      <c r="AT121" s="157" t="s">
        <v>145</v>
      </c>
      <c r="AU121" s="157" t="s">
        <v>82</v>
      </c>
      <c r="AV121" s="14" t="s">
        <v>82</v>
      </c>
      <c r="AW121" s="14" t="s">
        <v>4</v>
      </c>
      <c r="AX121" s="14" t="s">
        <v>80</v>
      </c>
      <c r="AY121" s="157" t="s">
        <v>138</v>
      </c>
    </row>
    <row r="122" spans="1:65" s="2" customFormat="1" ht="37.9" customHeight="1">
      <c r="A122" s="31"/>
      <c r="B122" s="136"/>
      <c r="C122" s="137">
        <v>10</v>
      </c>
      <c r="D122" s="137" t="s">
        <v>141</v>
      </c>
      <c r="E122" s="138" t="s">
        <v>281</v>
      </c>
      <c r="F122" s="139" t="s">
        <v>282</v>
      </c>
      <c r="G122" s="140" t="s">
        <v>160</v>
      </c>
      <c r="H122" s="141">
        <f>H112</f>
        <v>0.23512499999999997</v>
      </c>
      <c r="I122" s="142"/>
      <c r="J122" s="142">
        <f>ROUND(I122*H122,2)</f>
        <v>0</v>
      </c>
      <c r="K122" s="139" t="s">
        <v>148</v>
      </c>
      <c r="L122" s="32"/>
      <c r="M122" s="143" t="s">
        <v>3</v>
      </c>
      <c r="N122" s="144" t="s">
        <v>43</v>
      </c>
      <c r="O122" s="145">
        <v>0</v>
      </c>
      <c r="P122" s="145">
        <f>O122*H122</f>
        <v>0</v>
      </c>
      <c r="Q122" s="145">
        <v>0</v>
      </c>
      <c r="R122" s="145">
        <f>Q122*H122</f>
        <v>0</v>
      </c>
      <c r="S122" s="145">
        <v>0</v>
      </c>
      <c r="T122" s="146">
        <f>S122*H122</f>
        <v>0</v>
      </c>
      <c r="U122" s="31"/>
      <c r="V122" s="31"/>
      <c r="W122" s="31"/>
      <c r="X122" s="31"/>
      <c r="Y122" s="31"/>
      <c r="Z122" s="31"/>
      <c r="AA122" s="31"/>
      <c r="AB122" s="31"/>
      <c r="AC122" s="31"/>
      <c r="AD122" s="31"/>
      <c r="AE122" s="31"/>
      <c r="AR122" s="147" t="s">
        <v>144</v>
      </c>
      <c r="AT122" s="147" t="s">
        <v>141</v>
      </c>
      <c r="AU122" s="147" t="s">
        <v>82</v>
      </c>
      <c r="AY122" s="19" t="s">
        <v>138</v>
      </c>
      <c r="BE122" s="148">
        <f>IF(N122="základní",J122,0)</f>
        <v>0</v>
      </c>
      <c r="BF122" s="148">
        <f>IF(N122="snížená",J122,0)</f>
        <v>0</v>
      </c>
      <c r="BG122" s="148">
        <f>IF(N122="zákl. přenesená",J122,0)</f>
        <v>0</v>
      </c>
      <c r="BH122" s="148">
        <f>IF(N122="sníž. přenesená",J122,0)</f>
        <v>0</v>
      </c>
      <c r="BI122" s="148">
        <f>IF(N122="nulová",J122,0)</f>
        <v>0</v>
      </c>
      <c r="BJ122" s="19" t="s">
        <v>80</v>
      </c>
      <c r="BK122" s="148">
        <f>ROUND(I122*H122,2)</f>
        <v>0</v>
      </c>
      <c r="BL122" s="19" t="s">
        <v>144</v>
      </c>
      <c r="BM122" s="147" t="s">
        <v>575</v>
      </c>
    </row>
    <row r="123" spans="1:65" s="2" customFormat="1" ht="97.5">
      <c r="A123" s="31"/>
      <c r="B123" s="32"/>
      <c r="C123" s="31"/>
      <c r="D123" s="150" t="s">
        <v>149</v>
      </c>
      <c r="E123" s="31"/>
      <c r="F123" s="163" t="s">
        <v>284</v>
      </c>
      <c r="G123" s="31"/>
      <c r="H123" s="31"/>
      <c r="I123" s="31"/>
      <c r="J123" s="31"/>
      <c r="K123" s="31"/>
      <c r="L123" s="32"/>
      <c r="M123" s="164"/>
      <c r="N123" s="165"/>
      <c r="O123" s="52"/>
      <c r="P123" s="52"/>
      <c r="Q123" s="52"/>
      <c r="R123" s="52"/>
      <c r="S123" s="52"/>
      <c r="T123" s="53"/>
      <c r="U123" s="31"/>
      <c r="V123" s="31"/>
      <c r="W123" s="31"/>
      <c r="X123" s="31"/>
      <c r="Y123" s="31"/>
      <c r="Z123" s="31"/>
      <c r="AA123" s="31"/>
      <c r="AB123" s="31"/>
      <c r="AC123" s="31"/>
      <c r="AD123" s="31"/>
      <c r="AE123" s="31"/>
      <c r="AT123" s="19" t="s">
        <v>149</v>
      </c>
      <c r="AU123" s="19" t="s">
        <v>82</v>
      </c>
    </row>
    <row r="124" spans="1:65" s="2" customFormat="1" ht="24.2" customHeight="1">
      <c r="A124" s="31"/>
      <c r="B124" s="136"/>
      <c r="C124" s="137">
        <v>11</v>
      </c>
      <c r="D124" s="137" t="s">
        <v>141</v>
      </c>
      <c r="E124" s="138" t="s">
        <v>576</v>
      </c>
      <c r="F124" s="139" t="s">
        <v>577</v>
      </c>
      <c r="G124" s="140" t="s">
        <v>578</v>
      </c>
      <c r="H124" s="141">
        <v>1</v>
      </c>
      <c r="I124" s="142"/>
      <c r="J124" s="142">
        <f>ROUND(I124*H124,2)</f>
        <v>0</v>
      </c>
      <c r="K124" s="139" t="s">
        <v>143</v>
      </c>
      <c r="L124" s="32"/>
      <c r="M124" s="143" t="s">
        <v>3</v>
      </c>
      <c r="N124" s="144" t="s">
        <v>43</v>
      </c>
      <c r="O124" s="145">
        <v>0</v>
      </c>
      <c r="P124" s="145">
        <f>O124*H124</f>
        <v>0</v>
      </c>
      <c r="Q124" s="145">
        <v>0</v>
      </c>
      <c r="R124" s="145">
        <f>Q124*H124</f>
        <v>0</v>
      </c>
      <c r="S124" s="145">
        <v>0</v>
      </c>
      <c r="T124" s="146">
        <f>S124*H124</f>
        <v>0</v>
      </c>
      <c r="U124" s="31"/>
      <c r="V124" s="31"/>
      <c r="W124" s="31"/>
      <c r="X124" s="31"/>
      <c r="Y124" s="31"/>
      <c r="Z124" s="31"/>
      <c r="AA124" s="31"/>
      <c r="AB124" s="31"/>
      <c r="AC124" s="31"/>
      <c r="AD124" s="31"/>
      <c r="AE124" s="31"/>
      <c r="AR124" s="147" t="s">
        <v>144</v>
      </c>
      <c r="AT124" s="147" t="s">
        <v>141</v>
      </c>
      <c r="AU124" s="147" t="s">
        <v>82</v>
      </c>
      <c r="AY124" s="19" t="s">
        <v>138</v>
      </c>
      <c r="BE124" s="148">
        <f>IF(N124="základní",J124,0)</f>
        <v>0</v>
      </c>
      <c r="BF124" s="148">
        <f>IF(N124="snížená",J124,0)</f>
        <v>0</v>
      </c>
      <c r="BG124" s="148">
        <f>IF(N124="zákl. přenesená",J124,0)</f>
        <v>0</v>
      </c>
      <c r="BH124" s="148">
        <f>IF(N124="sníž. přenesená",J124,0)</f>
        <v>0</v>
      </c>
      <c r="BI124" s="148">
        <f>IF(N124="nulová",J124,0)</f>
        <v>0</v>
      </c>
      <c r="BJ124" s="19" t="s">
        <v>80</v>
      </c>
      <c r="BK124" s="148">
        <f>ROUND(I124*H124,2)</f>
        <v>0</v>
      </c>
      <c r="BL124" s="19" t="s">
        <v>144</v>
      </c>
      <c r="BM124" s="147" t="s">
        <v>765</v>
      </c>
    </row>
    <row r="125" spans="1:65" s="12" customFormat="1" ht="22.9" customHeight="1">
      <c r="B125" s="124"/>
      <c r="D125" s="125" t="s">
        <v>71</v>
      </c>
      <c r="E125" s="134" t="s">
        <v>285</v>
      </c>
      <c r="F125" s="134" t="s">
        <v>286</v>
      </c>
      <c r="J125" s="135">
        <f>BK125</f>
        <v>0</v>
      </c>
      <c r="L125" s="124"/>
      <c r="M125" s="128"/>
      <c r="N125" s="129"/>
      <c r="O125" s="129"/>
      <c r="P125" s="130">
        <f>SUM(P126:P127)</f>
        <v>0.87826714285714291</v>
      </c>
      <c r="Q125" s="129"/>
      <c r="R125" s="130">
        <f>SUM(R126:R127)</f>
        <v>0</v>
      </c>
      <c r="S125" s="129"/>
      <c r="T125" s="131">
        <f>SUM(T126:T127)</f>
        <v>0</v>
      </c>
      <c r="AR125" s="125" t="s">
        <v>80</v>
      </c>
      <c r="AT125" s="132" t="s">
        <v>71</v>
      </c>
      <c r="AU125" s="132" t="s">
        <v>80</v>
      </c>
      <c r="AY125" s="125" t="s">
        <v>138</v>
      </c>
      <c r="BK125" s="133">
        <f>SUM(BK126:BK127)</f>
        <v>0</v>
      </c>
    </row>
    <row r="126" spans="1:65" s="2" customFormat="1" ht="49.15" customHeight="1">
      <c r="A126" s="31"/>
      <c r="B126" s="136"/>
      <c r="C126" s="137">
        <v>12</v>
      </c>
      <c r="D126" s="137" t="s">
        <v>141</v>
      </c>
      <c r="E126" s="138" t="s">
        <v>287</v>
      </c>
      <c r="F126" s="139" t="s">
        <v>288</v>
      </c>
      <c r="G126" s="140" t="s">
        <v>160</v>
      </c>
      <c r="H126" s="141">
        <f>2.029/28*3</f>
        <v>0.21739285714285717</v>
      </c>
      <c r="I126" s="142"/>
      <c r="J126" s="142">
        <f>ROUND(I126*H126,2)</f>
        <v>0</v>
      </c>
      <c r="K126" s="139" t="s">
        <v>148</v>
      </c>
      <c r="L126" s="32"/>
      <c r="M126" s="143" t="s">
        <v>3</v>
      </c>
      <c r="N126" s="144" t="s">
        <v>43</v>
      </c>
      <c r="O126" s="145">
        <v>4.04</v>
      </c>
      <c r="P126" s="145">
        <f>O126*H126</f>
        <v>0.87826714285714291</v>
      </c>
      <c r="Q126" s="145">
        <v>0</v>
      </c>
      <c r="R126" s="145">
        <f>Q126*H126</f>
        <v>0</v>
      </c>
      <c r="S126" s="145">
        <v>0</v>
      </c>
      <c r="T126" s="146">
        <f>S126*H126</f>
        <v>0</v>
      </c>
      <c r="U126" s="31"/>
      <c r="V126" s="31"/>
      <c r="W126" s="31"/>
      <c r="X126" s="31"/>
      <c r="Y126" s="31"/>
      <c r="Z126" s="31"/>
      <c r="AA126" s="31"/>
      <c r="AB126" s="31"/>
      <c r="AC126" s="31"/>
      <c r="AD126" s="31"/>
      <c r="AE126" s="31"/>
      <c r="AR126" s="147" t="s">
        <v>144</v>
      </c>
      <c r="AT126" s="147" t="s">
        <v>141</v>
      </c>
      <c r="AU126" s="147" t="s">
        <v>82</v>
      </c>
      <c r="AY126" s="19" t="s">
        <v>138</v>
      </c>
      <c r="BE126" s="148">
        <f>IF(N126="základní",J126,0)</f>
        <v>0</v>
      </c>
      <c r="BF126" s="148">
        <f>IF(N126="snížená",J126,0)</f>
        <v>0</v>
      </c>
      <c r="BG126" s="148">
        <f>IF(N126="zákl. přenesená",J126,0)</f>
        <v>0</v>
      </c>
      <c r="BH126" s="148">
        <f>IF(N126="sníž. přenesená",J126,0)</f>
        <v>0</v>
      </c>
      <c r="BI126" s="148">
        <f>IF(N126="nulová",J126,0)</f>
        <v>0</v>
      </c>
      <c r="BJ126" s="19" t="s">
        <v>80</v>
      </c>
      <c r="BK126" s="148">
        <f>ROUND(I126*H126,2)</f>
        <v>0</v>
      </c>
      <c r="BL126" s="19" t="s">
        <v>144</v>
      </c>
      <c r="BM126" s="147" t="s">
        <v>580</v>
      </c>
    </row>
    <row r="127" spans="1:65" s="2" customFormat="1" ht="87.75">
      <c r="A127" s="31"/>
      <c r="B127" s="32"/>
      <c r="C127" s="31"/>
      <c r="D127" s="150" t="s">
        <v>149</v>
      </c>
      <c r="E127" s="31"/>
      <c r="F127" s="163" t="s">
        <v>290</v>
      </c>
      <c r="G127" s="31"/>
      <c r="H127" s="31"/>
      <c r="I127" s="31"/>
      <c r="J127" s="31"/>
      <c r="K127" s="31"/>
      <c r="L127" s="32"/>
      <c r="M127" s="164"/>
      <c r="N127" s="165"/>
      <c r="O127" s="52"/>
      <c r="P127" s="52"/>
      <c r="Q127" s="52"/>
      <c r="R127" s="52"/>
      <c r="S127" s="52"/>
      <c r="T127" s="53"/>
      <c r="U127" s="31"/>
      <c r="V127" s="31"/>
      <c r="W127" s="31"/>
      <c r="X127" s="31"/>
      <c r="Y127" s="31"/>
      <c r="Z127" s="31"/>
      <c r="AA127" s="31"/>
      <c r="AB127" s="31"/>
      <c r="AC127" s="31"/>
      <c r="AD127" s="31"/>
      <c r="AE127" s="31"/>
      <c r="AT127" s="19" t="s">
        <v>149</v>
      </c>
      <c r="AU127" s="19" t="s">
        <v>82</v>
      </c>
    </row>
    <row r="128" spans="1:65" s="12" customFormat="1" ht="25.9" customHeight="1">
      <c r="B128" s="124"/>
      <c r="D128" s="125" t="s">
        <v>71</v>
      </c>
      <c r="E128" s="126" t="s">
        <v>291</v>
      </c>
      <c r="F128" s="126" t="s">
        <v>292</v>
      </c>
      <c r="J128" s="127">
        <f>J129+J139+J155+J167+J176+J180</f>
        <v>0</v>
      </c>
      <c r="L128" s="124"/>
      <c r="M128" s="128"/>
      <c r="N128" s="129"/>
      <c r="O128" s="129"/>
      <c r="P128" s="130">
        <f>P139+P155+P167+P176</f>
        <v>6.1729999999999992</v>
      </c>
      <c r="Q128" s="129"/>
      <c r="R128" s="130">
        <f>R139+R155+R167+R176</f>
        <v>9.3329999999999996E-2</v>
      </c>
      <c r="S128" s="129"/>
      <c r="T128" s="131">
        <f>T139+T155+T167+T176</f>
        <v>0</v>
      </c>
      <c r="AR128" s="125" t="s">
        <v>82</v>
      </c>
      <c r="AT128" s="132" t="s">
        <v>71</v>
      </c>
      <c r="AU128" s="132" t="s">
        <v>72</v>
      </c>
      <c r="AY128" s="125" t="s">
        <v>138</v>
      </c>
      <c r="BK128" s="133">
        <f>BK139+BK155+BK167+BK176</f>
        <v>0</v>
      </c>
    </row>
    <row r="129" spans="1:65" s="12" customFormat="1" ht="22.9" customHeight="1">
      <c r="B129" s="124"/>
      <c r="D129" s="125" t="s">
        <v>71</v>
      </c>
      <c r="E129" s="134">
        <v>731</v>
      </c>
      <c r="F129" s="134" t="s">
        <v>1565</v>
      </c>
      <c r="J129" s="135">
        <f>BK129</f>
        <v>0</v>
      </c>
      <c r="L129" s="124"/>
      <c r="M129" s="128"/>
      <c r="N129" s="129"/>
      <c r="O129" s="129"/>
      <c r="P129" s="130">
        <f>SUM(P130:P138)</f>
        <v>0.83799999999999997</v>
      </c>
      <c r="Q129" s="129"/>
      <c r="R129" s="130">
        <f>SUM(R130:R138)</f>
        <v>1.0499999999999999E-3</v>
      </c>
      <c r="S129" s="129"/>
      <c r="T129" s="131">
        <f>SUM(T130:T138)</f>
        <v>0</v>
      </c>
      <c r="AR129" s="125" t="s">
        <v>82</v>
      </c>
      <c r="AT129" s="132" t="s">
        <v>71</v>
      </c>
      <c r="AU129" s="132" t="s">
        <v>80</v>
      </c>
      <c r="AY129" s="125" t="s">
        <v>138</v>
      </c>
      <c r="BK129" s="133">
        <f>SUM(BK130:BK138)</f>
        <v>0</v>
      </c>
    </row>
    <row r="130" spans="1:65" s="2" customFormat="1" ht="24.2" customHeight="1">
      <c r="A130" s="311"/>
      <c r="B130" s="136"/>
      <c r="C130" s="137">
        <v>13</v>
      </c>
      <c r="D130" s="137" t="s">
        <v>141</v>
      </c>
      <c r="E130" s="138" t="s">
        <v>1567</v>
      </c>
      <c r="F130" s="139" t="s">
        <v>1566</v>
      </c>
      <c r="G130" s="140" t="s">
        <v>147</v>
      </c>
      <c r="H130" s="141">
        <v>1</v>
      </c>
      <c r="I130" s="142"/>
      <c r="J130" s="142">
        <f>ROUND(I130*H130,2)</f>
        <v>0</v>
      </c>
      <c r="K130" s="139" t="s">
        <v>148</v>
      </c>
      <c r="L130" s="32"/>
      <c r="M130" s="143" t="s">
        <v>3</v>
      </c>
      <c r="N130" s="144" t="s">
        <v>43</v>
      </c>
      <c r="O130" s="145">
        <v>0.41399999999999998</v>
      </c>
      <c r="P130" s="145">
        <f>O130*H130</f>
        <v>0.41399999999999998</v>
      </c>
      <c r="Q130" s="145">
        <v>4.6999999999999999E-4</v>
      </c>
      <c r="R130" s="145">
        <f>Q130*H130</f>
        <v>4.6999999999999999E-4</v>
      </c>
      <c r="S130" s="145">
        <v>0</v>
      </c>
      <c r="T130" s="146">
        <f>S130*H130</f>
        <v>0</v>
      </c>
      <c r="U130" s="311"/>
      <c r="V130" s="311"/>
      <c r="W130" s="311"/>
      <c r="X130" s="311"/>
      <c r="Y130" s="311"/>
      <c r="Z130" s="311"/>
      <c r="AA130" s="311"/>
      <c r="AB130" s="311"/>
      <c r="AC130" s="311"/>
      <c r="AD130" s="311"/>
      <c r="AE130" s="311"/>
      <c r="AR130" s="147" t="s">
        <v>200</v>
      </c>
      <c r="AT130" s="147" t="s">
        <v>141</v>
      </c>
      <c r="AU130" s="147" t="s">
        <v>82</v>
      </c>
      <c r="AY130" s="19" t="s">
        <v>138</v>
      </c>
      <c r="BE130" s="148">
        <f>IF(N130="základní",J130,0)</f>
        <v>0</v>
      </c>
      <c r="BF130" s="148">
        <f>IF(N130="snížená",J130,0)</f>
        <v>0</v>
      </c>
      <c r="BG130" s="148">
        <f>IF(N130="zákl. přenesená",J130,0)</f>
        <v>0</v>
      </c>
      <c r="BH130" s="148">
        <f>IF(N130="sníž. přenesená",J130,0)</f>
        <v>0</v>
      </c>
      <c r="BI130" s="148">
        <f>IF(N130="nulová",J130,0)</f>
        <v>0</v>
      </c>
      <c r="BJ130" s="19" t="s">
        <v>80</v>
      </c>
      <c r="BK130" s="148">
        <f>ROUND(I130*H130,2)</f>
        <v>0</v>
      </c>
      <c r="BL130" s="19" t="s">
        <v>200</v>
      </c>
      <c r="BM130" s="147" t="s">
        <v>770</v>
      </c>
    </row>
    <row r="131" spans="1:65" s="13" customFormat="1">
      <c r="B131" s="149"/>
      <c r="D131" s="150" t="s">
        <v>145</v>
      </c>
      <c r="E131" s="151" t="s">
        <v>3</v>
      </c>
      <c r="F131" s="152" t="s">
        <v>1575</v>
      </c>
      <c r="H131" s="151" t="s">
        <v>3</v>
      </c>
      <c r="L131" s="149"/>
      <c r="M131" s="153"/>
      <c r="N131" s="154"/>
      <c r="O131" s="154"/>
      <c r="P131" s="154"/>
      <c r="Q131" s="154"/>
      <c r="R131" s="154"/>
      <c r="S131" s="154"/>
      <c r="T131" s="155"/>
      <c r="AT131" s="151" t="s">
        <v>145</v>
      </c>
      <c r="AU131" s="151" t="s">
        <v>82</v>
      </c>
      <c r="AV131" s="13" t="s">
        <v>80</v>
      </c>
      <c r="AW131" s="13" t="s">
        <v>34</v>
      </c>
      <c r="AX131" s="13" t="s">
        <v>72</v>
      </c>
      <c r="AY131" s="151" t="s">
        <v>138</v>
      </c>
    </row>
    <row r="132" spans="1:65" s="2" customFormat="1" ht="24.2" customHeight="1">
      <c r="B132" s="301"/>
      <c r="C132" s="137">
        <v>14</v>
      </c>
      <c r="D132" s="137" t="s">
        <v>141</v>
      </c>
      <c r="E132" s="138" t="s">
        <v>1568</v>
      </c>
      <c r="F132" s="139" t="s">
        <v>1570</v>
      </c>
      <c r="G132" s="140" t="s">
        <v>578</v>
      </c>
      <c r="H132" s="141">
        <v>1</v>
      </c>
      <c r="I132" s="142"/>
      <c r="J132" s="142">
        <f>ROUND(I132*H132,2)</f>
        <v>0</v>
      </c>
      <c r="K132" s="139" t="s">
        <v>148</v>
      </c>
      <c r="L132" s="89"/>
      <c r="M132" s="143" t="s">
        <v>3</v>
      </c>
      <c r="N132" s="302" t="s">
        <v>43</v>
      </c>
      <c r="O132" s="303">
        <v>0.42399999999999999</v>
      </c>
      <c r="P132" s="303">
        <f>O132*H132</f>
        <v>0.42399999999999999</v>
      </c>
      <c r="Q132" s="303">
        <v>5.8E-4</v>
      </c>
      <c r="R132" s="303">
        <f>Q132*H132</f>
        <v>5.8E-4</v>
      </c>
      <c r="S132" s="303">
        <v>0</v>
      </c>
      <c r="T132" s="146">
        <f>S132*H132</f>
        <v>0</v>
      </c>
      <c r="AR132" s="147" t="s">
        <v>200</v>
      </c>
      <c r="AT132" s="147" t="s">
        <v>141</v>
      </c>
      <c r="AU132" s="147" t="s">
        <v>82</v>
      </c>
      <c r="AY132" s="304" t="s">
        <v>138</v>
      </c>
      <c r="BE132" s="305">
        <f>IF(N132="základní",J132,0)</f>
        <v>0</v>
      </c>
      <c r="BF132" s="305">
        <f>IF(N132="snížená",J132,0)</f>
        <v>0</v>
      </c>
      <c r="BG132" s="305">
        <f>IF(N132="zákl. přenesená",J132,0)</f>
        <v>0</v>
      </c>
      <c r="BH132" s="305">
        <f>IF(N132="sníž. přenesená",J132,0)</f>
        <v>0</v>
      </c>
      <c r="BI132" s="305">
        <f>IF(N132="nulová",J132,0)</f>
        <v>0</v>
      </c>
      <c r="BJ132" s="304" t="s">
        <v>80</v>
      </c>
      <c r="BK132" s="305">
        <f>ROUND(I132*H132,2)</f>
        <v>0</v>
      </c>
      <c r="BL132" s="304" t="s">
        <v>200</v>
      </c>
      <c r="BM132" s="147" t="s">
        <v>1324</v>
      </c>
    </row>
    <row r="133" spans="1:65" s="13" customFormat="1" ht="10.5" customHeight="1">
      <c r="B133" s="149"/>
      <c r="D133" s="150" t="s">
        <v>145</v>
      </c>
      <c r="E133" s="151" t="s">
        <v>3</v>
      </c>
      <c r="F133" s="152" t="s">
        <v>1569</v>
      </c>
      <c r="H133" s="151" t="s">
        <v>3</v>
      </c>
      <c r="L133" s="149"/>
      <c r="M133" s="153"/>
      <c r="N133" s="306"/>
      <c r="O133" s="306"/>
      <c r="P133" s="306"/>
      <c r="Q133" s="306"/>
      <c r="R133" s="306"/>
      <c r="S133" s="306"/>
      <c r="T133" s="155"/>
      <c r="AT133" s="151" t="s">
        <v>145</v>
      </c>
      <c r="AU133" s="151" t="s">
        <v>82</v>
      </c>
      <c r="AV133" s="13" t="s">
        <v>80</v>
      </c>
      <c r="AW133" s="13" t="s">
        <v>34</v>
      </c>
      <c r="AX133" s="13" t="s">
        <v>72</v>
      </c>
      <c r="AY133" s="151" t="s">
        <v>138</v>
      </c>
    </row>
    <row r="134" spans="1:65" s="2" customFormat="1" ht="24.2" customHeight="1">
      <c r="A134" s="311"/>
      <c r="B134" s="136"/>
      <c r="C134" s="173">
        <v>15</v>
      </c>
      <c r="D134" s="173" t="s">
        <v>164</v>
      </c>
      <c r="E134" s="174" t="s">
        <v>1571</v>
      </c>
      <c r="F134" s="175" t="s">
        <v>1572</v>
      </c>
      <c r="G134" s="176" t="s">
        <v>147</v>
      </c>
      <c r="H134" s="177">
        <v>1</v>
      </c>
      <c r="I134" s="281"/>
      <c r="J134" s="178">
        <f>ROUND(I134*H134,2)</f>
        <v>0</v>
      </c>
      <c r="K134" s="175" t="s">
        <v>143</v>
      </c>
      <c r="L134" s="179"/>
      <c r="M134" s="180" t="s">
        <v>3</v>
      </c>
      <c r="N134" s="181" t="s">
        <v>43</v>
      </c>
      <c r="O134" s="145">
        <v>0</v>
      </c>
      <c r="P134" s="145">
        <f>O134*H134</f>
        <v>0</v>
      </c>
      <c r="Q134" s="145">
        <v>0</v>
      </c>
      <c r="R134" s="145">
        <f>Q134*H134</f>
        <v>0</v>
      </c>
      <c r="S134" s="145">
        <v>0</v>
      </c>
      <c r="T134" s="146">
        <f>S134*H134</f>
        <v>0</v>
      </c>
      <c r="U134" s="311"/>
      <c r="V134" s="274"/>
      <c r="W134" s="311"/>
      <c r="X134" s="311"/>
      <c r="Y134" s="311"/>
      <c r="Z134" s="311"/>
      <c r="AA134" s="311"/>
      <c r="AB134" s="311"/>
      <c r="AC134" s="311"/>
      <c r="AD134" s="311"/>
      <c r="AE134" s="311"/>
      <c r="AR134" s="147" t="s">
        <v>224</v>
      </c>
      <c r="AT134" s="147" t="s">
        <v>164</v>
      </c>
      <c r="AU134" s="147" t="s">
        <v>82</v>
      </c>
      <c r="AY134" s="19" t="s">
        <v>138</v>
      </c>
      <c r="BE134" s="148">
        <f>IF(N134="základní",J134,0)</f>
        <v>0</v>
      </c>
      <c r="BF134" s="148">
        <f>IF(N134="snížená",J134,0)</f>
        <v>0</v>
      </c>
      <c r="BG134" s="148">
        <f>IF(N134="zákl. přenesená",J134,0)</f>
        <v>0</v>
      </c>
      <c r="BH134" s="148">
        <f>IF(N134="sníž. přenesená",J134,0)</f>
        <v>0</v>
      </c>
      <c r="BI134" s="148">
        <f>IF(N134="nulová",J134,0)</f>
        <v>0</v>
      </c>
      <c r="BJ134" s="19" t="s">
        <v>80</v>
      </c>
      <c r="BK134" s="148">
        <f>ROUND(I134*H134,2)</f>
        <v>0</v>
      </c>
      <c r="BL134" s="19" t="s">
        <v>200</v>
      </c>
      <c r="BM134" s="147" t="s">
        <v>708</v>
      </c>
    </row>
    <row r="135" spans="1:65" s="2" customFormat="1" ht="37.9" customHeight="1">
      <c r="A135" s="311"/>
      <c r="B135" s="136"/>
      <c r="C135" s="137">
        <v>16</v>
      </c>
      <c r="D135" s="137" t="s">
        <v>141</v>
      </c>
      <c r="E135" s="138" t="s">
        <v>777</v>
      </c>
      <c r="F135" s="139" t="s">
        <v>1573</v>
      </c>
      <c r="G135" s="140" t="s">
        <v>308</v>
      </c>
      <c r="H135" s="141">
        <f>SUM(J130:J134)/100</f>
        <v>0</v>
      </c>
      <c r="I135" s="142"/>
      <c r="J135" s="142">
        <f>ROUND(I135*H135,2)</f>
        <v>0</v>
      </c>
      <c r="K135" s="139" t="s">
        <v>148</v>
      </c>
      <c r="L135" s="32"/>
      <c r="M135" s="143" t="s">
        <v>3</v>
      </c>
      <c r="N135" s="144" t="s">
        <v>43</v>
      </c>
      <c r="O135" s="145">
        <v>0</v>
      </c>
      <c r="P135" s="145">
        <f>O135*H135</f>
        <v>0</v>
      </c>
      <c r="Q135" s="145">
        <v>0</v>
      </c>
      <c r="R135" s="145">
        <f>Q135*H135</f>
        <v>0</v>
      </c>
      <c r="S135" s="145">
        <v>0</v>
      </c>
      <c r="T135" s="146">
        <f>S135*H135</f>
        <v>0</v>
      </c>
      <c r="U135" s="311"/>
      <c r="V135" s="311"/>
      <c r="W135" s="311"/>
      <c r="X135" s="311"/>
      <c r="Y135" s="311"/>
      <c r="Z135" s="311"/>
      <c r="AA135" s="311"/>
      <c r="AB135" s="311"/>
      <c r="AC135" s="311"/>
      <c r="AD135" s="311"/>
      <c r="AE135" s="311"/>
      <c r="AR135" s="147" t="s">
        <v>200</v>
      </c>
      <c r="AT135" s="147" t="s">
        <v>141</v>
      </c>
      <c r="AU135" s="147" t="s">
        <v>82</v>
      </c>
      <c r="AY135" s="19" t="s">
        <v>138</v>
      </c>
      <c r="BE135" s="148">
        <f>IF(N135="základní",J135,0)</f>
        <v>0</v>
      </c>
      <c r="BF135" s="148">
        <f>IF(N135="snížená",J135,0)</f>
        <v>0</v>
      </c>
      <c r="BG135" s="148">
        <f>IF(N135="zákl. přenesená",J135,0)</f>
        <v>0</v>
      </c>
      <c r="BH135" s="148">
        <f>IF(N135="sníž. přenesená",J135,0)</f>
        <v>0</v>
      </c>
      <c r="BI135" s="148">
        <f>IF(N135="nulová",J135,0)</f>
        <v>0</v>
      </c>
      <c r="BJ135" s="19" t="s">
        <v>80</v>
      </c>
      <c r="BK135" s="148">
        <f>ROUND(I135*H135,2)</f>
        <v>0</v>
      </c>
      <c r="BL135" s="19" t="s">
        <v>200</v>
      </c>
      <c r="BM135" s="147" t="s">
        <v>779</v>
      </c>
    </row>
    <row r="136" spans="1:65" s="2" customFormat="1" ht="126.75">
      <c r="A136" s="311"/>
      <c r="B136" s="32"/>
      <c r="C136" s="311"/>
      <c r="D136" s="150" t="s">
        <v>149</v>
      </c>
      <c r="E136" s="311"/>
      <c r="F136" s="163" t="s">
        <v>780</v>
      </c>
      <c r="G136" s="311"/>
      <c r="H136" s="311"/>
      <c r="I136" s="311"/>
      <c r="J136" s="311"/>
      <c r="K136" s="311"/>
      <c r="L136" s="32"/>
      <c r="M136" s="164"/>
      <c r="N136" s="165"/>
      <c r="O136" s="52"/>
      <c r="P136" s="52"/>
      <c r="Q136" s="52"/>
      <c r="R136" s="52"/>
      <c r="S136" s="52"/>
      <c r="T136" s="53"/>
      <c r="U136" s="311"/>
      <c r="V136" s="311"/>
      <c r="W136" s="311"/>
      <c r="X136" s="311"/>
      <c r="Y136" s="311"/>
      <c r="Z136" s="311"/>
      <c r="AA136" s="311"/>
      <c r="AB136" s="311"/>
      <c r="AC136" s="311"/>
      <c r="AD136" s="311"/>
      <c r="AE136" s="311"/>
      <c r="AT136" s="19" t="s">
        <v>149</v>
      </c>
      <c r="AU136" s="19" t="s">
        <v>82</v>
      </c>
    </row>
    <row r="137" spans="1:65" s="2" customFormat="1" ht="37.9" customHeight="1">
      <c r="A137" s="311"/>
      <c r="B137" s="136"/>
      <c r="C137" s="137">
        <v>17</v>
      </c>
      <c r="D137" s="137" t="s">
        <v>141</v>
      </c>
      <c r="E137" s="138" t="s">
        <v>781</v>
      </c>
      <c r="F137" s="139" t="s">
        <v>782</v>
      </c>
      <c r="G137" s="140" t="s">
        <v>308</v>
      </c>
      <c r="H137" s="141">
        <f>H135</f>
        <v>0</v>
      </c>
      <c r="I137" s="142"/>
      <c r="J137" s="142">
        <f>ROUND(I137*H137,2)</f>
        <v>0</v>
      </c>
      <c r="K137" s="139" t="s">
        <v>148</v>
      </c>
      <c r="L137" s="32"/>
      <c r="M137" s="143" t="s">
        <v>3</v>
      </c>
      <c r="N137" s="144" t="s">
        <v>43</v>
      </c>
      <c r="O137" s="145">
        <v>0</v>
      </c>
      <c r="P137" s="145">
        <f>O137*H137</f>
        <v>0</v>
      </c>
      <c r="Q137" s="145">
        <v>0</v>
      </c>
      <c r="R137" s="145">
        <f>Q137*H137</f>
        <v>0</v>
      </c>
      <c r="S137" s="145">
        <v>0</v>
      </c>
      <c r="T137" s="146">
        <f>S137*H137</f>
        <v>0</v>
      </c>
      <c r="U137" s="311"/>
      <c r="V137" s="311"/>
      <c r="W137" s="311"/>
      <c r="X137" s="311"/>
      <c r="Y137" s="311"/>
      <c r="Z137" s="311"/>
      <c r="AA137" s="311"/>
      <c r="AB137" s="311"/>
      <c r="AC137" s="311"/>
      <c r="AD137" s="311"/>
      <c r="AE137" s="311"/>
      <c r="AR137" s="147" t="s">
        <v>200</v>
      </c>
      <c r="AT137" s="147" t="s">
        <v>141</v>
      </c>
      <c r="AU137" s="147" t="s">
        <v>82</v>
      </c>
      <c r="AY137" s="19" t="s">
        <v>138</v>
      </c>
      <c r="BE137" s="148">
        <f>IF(N137="základní",J137,0)</f>
        <v>0</v>
      </c>
      <c r="BF137" s="148">
        <f>IF(N137="snížená",J137,0)</f>
        <v>0</v>
      </c>
      <c r="BG137" s="148">
        <f>IF(N137="zákl. přenesená",J137,0)</f>
        <v>0</v>
      </c>
      <c r="BH137" s="148">
        <f>IF(N137="sníž. přenesená",J137,0)</f>
        <v>0</v>
      </c>
      <c r="BI137" s="148">
        <f>IF(N137="nulová",J137,0)</f>
        <v>0</v>
      </c>
      <c r="BJ137" s="19" t="s">
        <v>80</v>
      </c>
      <c r="BK137" s="148">
        <f>ROUND(I137*H137,2)</f>
        <v>0</v>
      </c>
      <c r="BL137" s="19" t="s">
        <v>200</v>
      </c>
      <c r="BM137" s="147" t="s">
        <v>783</v>
      </c>
    </row>
    <row r="138" spans="1:65" s="2" customFormat="1" ht="126.75">
      <c r="A138" s="311"/>
      <c r="B138" s="32"/>
      <c r="C138" s="311"/>
      <c r="D138" s="150" t="s">
        <v>149</v>
      </c>
      <c r="E138" s="311"/>
      <c r="F138" s="163" t="s">
        <v>780</v>
      </c>
      <c r="G138" s="311"/>
      <c r="H138" s="311"/>
      <c r="I138" s="311"/>
      <c r="J138" s="311"/>
      <c r="K138" s="311"/>
      <c r="L138" s="32"/>
      <c r="M138" s="164"/>
      <c r="N138" s="165"/>
      <c r="O138" s="52"/>
      <c r="P138" s="52"/>
      <c r="Q138" s="52"/>
      <c r="R138" s="52"/>
      <c r="S138" s="52"/>
      <c r="T138" s="53"/>
      <c r="U138" s="311"/>
      <c r="V138" s="311"/>
      <c r="W138" s="311"/>
      <c r="X138" s="311"/>
      <c r="Y138" s="311"/>
      <c r="Z138" s="311"/>
      <c r="AA138" s="311"/>
      <c r="AB138" s="311"/>
      <c r="AC138" s="311"/>
      <c r="AD138" s="311"/>
      <c r="AE138" s="311"/>
      <c r="AT138" s="19" t="s">
        <v>149</v>
      </c>
      <c r="AU138" s="19" t="s">
        <v>82</v>
      </c>
    </row>
    <row r="139" spans="1:65" s="12" customFormat="1" ht="22.9" customHeight="1">
      <c r="B139" s="124"/>
      <c r="D139" s="125" t="s">
        <v>71</v>
      </c>
      <c r="E139" s="134" t="s">
        <v>766</v>
      </c>
      <c r="F139" s="134" t="s">
        <v>767</v>
      </c>
      <c r="J139" s="135">
        <f>BK139</f>
        <v>0</v>
      </c>
      <c r="L139" s="124"/>
      <c r="M139" s="128"/>
      <c r="N139" s="129"/>
      <c r="O139" s="129"/>
      <c r="P139" s="130">
        <f>SUM(P140:P154)</f>
        <v>4.01</v>
      </c>
      <c r="Q139" s="129"/>
      <c r="R139" s="130">
        <f>SUM(R140:R154)</f>
        <v>4.9100000000000003E-3</v>
      </c>
      <c r="S139" s="129"/>
      <c r="T139" s="131">
        <f>SUM(T140:T154)</f>
        <v>0</v>
      </c>
      <c r="AR139" s="125" t="s">
        <v>82</v>
      </c>
      <c r="AT139" s="132" t="s">
        <v>71</v>
      </c>
      <c r="AU139" s="132" t="s">
        <v>80</v>
      </c>
      <c r="AY139" s="125" t="s">
        <v>138</v>
      </c>
      <c r="BK139" s="133">
        <f>SUM(BK140:BK154)</f>
        <v>0</v>
      </c>
    </row>
    <row r="140" spans="1:65" s="2" customFormat="1" ht="24.2" customHeight="1">
      <c r="A140" s="31"/>
      <c r="B140" s="136"/>
      <c r="C140" s="137">
        <v>18</v>
      </c>
      <c r="D140" s="137" t="s">
        <v>141</v>
      </c>
      <c r="E140" s="138" t="s">
        <v>768</v>
      </c>
      <c r="F140" s="139" t="s">
        <v>769</v>
      </c>
      <c r="G140" s="140" t="s">
        <v>187</v>
      </c>
      <c r="H140" s="141">
        <f>H142</f>
        <v>5</v>
      </c>
      <c r="I140" s="142"/>
      <c r="J140" s="142">
        <f>ROUND(I140*H140,2)</f>
        <v>0</v>
      </c>
      <c r="K140" s="139" t="s">
        <v>148</v>
      </c>
      <c r="L140" s="32"/>
      <c r="M140" s="143" t="s">
        <v>3</v>
      </c>
      <c r="N140" s="144" t="s">
        <v>43</v>
      </c>
      <c r="O140" s="145">
        <v>0.41399999999999998</v>
      </c>
      <c r="P140" s="145">
        <f>O140*H140</f>
        <v>2.0699999999999998</v>
      </c>
      <c r="Q140" s="145">
        <v>4.6999999999999999E-4</v>
      </c>
      <c r="R140" s="145">
        <f>Q140*H140</f>
        <v>2.3500000000000001E-3</v>
      </c>
      <c r="S140" s="145">
        <v>0</v>
      </c>
      <c r="T140" s="146">
        <f>S140*H140</f>
        <v>0</v>
      </c>
      <c r="U140" s="31"/>
      <c r="V140" s="31"/>
      <c r="W140" s="31"/>
      <c r="X140" s="31"/>
      <c r="Y140" s="31"/>
      <c r="Z140" s="31"/>
      <c r="AA140" s="31"/>
      <c r="AB140" s="31"/>
      <c r="AC140" s="31"/>
      <c r="AD140" s="31"/>
      <c r="AE140" s="31"/>
      <c r="AR140" s="147" t="s">
        <v>200</v>
      </c>
      <c r="AT140" s="147" t="s">
        <v>141</v>
      </c>
      <c r="AU140" s="147" t="s">
        <v>82</v>
      </c>
      <c r="AY140" s="19" t="s">
        <v>138</v>
      </c>
      <c r="BE140" s="148">
        <f>IF(N140="základní",J140,0)</f>
        <v>0</v>
      </c>
      <c r="BF140" s="148">
        <f>IF(N140="snížená",J140,0)</f>
        <v>0</v>
      </c>
      <c r="BG140" s="148">
        <f>IF(N140="zákl. přenesená",J140,0)</f>
        <v>0</v>
      </c>
      <c r="BH140" s="148">
        <f>IF(N140="sníž. přenesená",J140,0)</f>
        <v>0</v>
      </c>
      <c r="BI140" s="148">
        <f>IF(N140="nulová",J140,0)</f>
        <v>0</v>
      </c>
      <c r="BJ140" s="19" t="s">
        <v>80</v>
      </c>
      <c r="BK140" s="148">
        <f>ROUND(I140*H140,2)</f>
        <v>0</v>
      </c>
      <c r="BL140" s="19" t="s">
        <v>200</v>
      </c>
      <c r="BM140" s="147" t="s">
        <v>770</v>
      </c>
    </row>
    <row r="141" spans="1:65" s="13" customFormat="1">
      <c r="B141" s="149"/>
      <c r="D141" s="150" t="s">
        <v>145</v>
      </c>
      <c r="E141" s="151" t="s">
        <v>3</v>
      </c>
      <c r="F141" s="152" t="s">
        <v>763</v>
      </c>
      <c r="H141" s="151" t="s">
        <v>3</v>
      </c>
      <c r="L141" s="149"/>
      <c r="M141" s="153"/>
      <c r="N141" s="154"/>
      <c r="O141" s="154"/>
      <c r="P141" s="154"/>
      <c r="Q141" s="154"/>
      <c r="R141" s="154"/>
      <c r="S141" s="154"/>
      <c r="T141" s="155"/>
      <c r="AT141" s="151" t="s">
        <v>145</v>
      </c>
      <c r="AU141" s="151" t="s">
        <v>82</v>
      </c>
      <c r="AV141" s="13" t="s">
        <v>80</v>
      </c>
      <c r="AW141" s="13" t="s">
        <v>34</v>
      </c>
      <c r="AX141" s="13" t="s">
        <v>72</v>
      </c>
      <c r="AY141" s="151" t="s">
        <v>138</v>
      </c>
    </row>
    <row r="142" spans="1:65" s="14" customFormat="1">
      <c r="B142" s="156"/>
      <c r="D142" s="150" t="s">
        <v>145</v>
      </c>
      <c r="E142" s="157" t="s">
        <v>3</v>
      </c>
      <c r="F142" s="158" t="s">
        <v>1321</v>
      </c>
      <c r="H142" s="159">
        <f>2.5+1.5+2*0.5</f>
        <v>5</v>
      </c>
      <c r="L142" s="156"/>
      <c r="M142" s="160"/>
      <c r="N142" s="161"/>
      <c r="O142" s="161"/>
      <c r="P142" s="161"/>
      <c r="Q142" s="161"/>
      <c r="R142" s="161"/>
      <c r="S142" s="161"/>
      <c r="T142" s="162"/>
      <c r="AT142" s="157" t="s">
        <v>145</v>
      </c>
      <c r="AU142" s="157" t="s">
        <v>82</v>
      </c>
      <c r="AV142" s="14" t="s">
        <v>82</v>
      </c>
      <c r="AW142" s="14" t="s">
        <v>34</v>
      </c>
      <c r="AX142" s="14" t="s">
        <v>80</v>
      </c>
      <c r="AY142" s="157" t="s">
        <v>138</v>
      </c>
    </row>
    <row r="143" spans="1:65" s="2" customFormat="1" ht="24.2" customHeight="1">
      <c r="B143" s="301"/>
      <c r="C143" s="137">
        <v>19</v>
      </c>
      <c r="D143" s="137" t="s">
        <v>141</v>
      </c>
      <c r="E143" s="138" t="s">
        <v>1322</v>
      </c>
      <c r="F143" s="139" t="s">
        <v>1323</v>
      </c>
      <c r="G143" s="140" t="s">
        <v>187</v>
      </c>
      <c r="H143" s="141">
        <f>H145</f>
        <v>2</v>
      </c>
      <c r="I143" s="142"/>
      <c r="J143" s="142">
        <f>ROUND(I143*H143,2)</f>
        <v>0</v>
      </c>
      <c r="K143" s="139" t="s">
        <v>148</v>
      </c>
      <c r="L143" s="89"/>
      <c r="M143" s="143" t="s">
        <v>3</v>
      </c>
      <c r="N143" s="302" t="s">
        <v>43</v>
      </c>
      <c r="O143" s="303">
        <v>0.42399999999999999</v>
      </c>
      <c r="P143" s="303">
        <f>O143*H143</f>
        <v>0.84799999999999998</v>
      </c>
      <c r="Q143" s="303">
        <v>5.8E-4</v>
      </c>
      <c r="R143" s="303">
        <f>Q143*H143</f>
        <v>1.16E-3</v>
      </c>
      <c r="S143" s="303">
        <v>0</v>
      </c>
      <c r="T143" s="146">
        <f>S143*H143</f>
        <v>0</v>
      </c>
      <c r="AR143" s="147" t="s">
        <v>200</v>
      </c>
      <c r="AT143" s="147" t="s">
        <v>141</v>
      </c>
      <c r="AU143" s="147" t="s">
        <v>82</v>
      </c>
      <c r="AY143" s="304" t="s">
        <v>138</v>
      </c>
      <c r="BE143" s="305">
        <f>IF(N143="základní",J143,0)</f>
        <v>0</v>
      </c>
      <c r="BF143" s="305">
        <f>IF(N143="snížená",J143,0)</f>
        <v>0</v>
      </c>
      <c r="BG143" s="305">
        <f>IF(N143="zákl. přenesená",J143,0)</f>
        <v>0</v>
      </c>
      <c r="BH143" s="305">
        <f>IF(N143="sníž. přenesená",J143,0)</f>
        <v>0</v>
      </c>
      <c r="BI143" s="305">
        <f>IF(N143="nulová",J143,0)</f>
        <v>0</v>
      </c>
      <c r="BJ143" s="304" t="s">
        <v>80</v>
      </c>
      <c r="BK143" s="305">
        <f>ROUND(I143*H143,2)</f>
        <v>0</v>
      </c>
      <c r="BL143" s="304" t="s">
        <v>200</v>
      </c>
      <c r="BM143" s="147" t="s">
        <v>1324</v>
      </c>
    </row>
    <row r="144" spans="1:65" s="13" customFormat="1">
      <c r="B144" s="149"/>
      <c r="D144" s="150" t="s">
        <v>145</v>
      </c>
      <c r="E144" s="151" t="s">
        <v>3</v>
      </c>
      <c r="F144" s="152" t="s">
        <v>763</v>
      </c>
      <c r="H144" s="151" t="s">
        <v>3</v>
      </c>
      <c r="L144" s="149"/>
      <c r="M144" s="153"/>
      <c r="N144" s="306"/>
      <c r="O144" s="306"/>
      <c r="P144" s="306"/>
      <c r="Q144" s="306"/>
      <c r="R144" s="306"/>
      <c r="S144" s="306"/>
      <c r="T144" s="155"/>
      <c r="AT144" s="151" t="s">
        <v>145</v>
      </c>
      <c r="AU144" s="151" t="s">
        <v>82</v>
      </c>
      <c r="AV144" s="13" t="s">
        <v>80</v>
      </c>
      <c r="AW144" s="13" t="s">
        <v>34</v>
      </c>
      <c r="AX144" s="13" t="s">
        <v>72</v>
      </c>
      <c r="AY144" s="151" t="s">
        <v>138</v>
      </c>
    </row>
    <row r="145" spans="1:65" s="14" customFormat="1">
      <c r="B145" s="156"/>
      <c r="D145" s="150" t="s">
        <v>145</v>
      </c>
      <c r="E145" s="157" t="s">
        <v>3</v>
      </c>
      <c r="F145" s="158" t="s">
        <v>1325</v>
      </c>
      <c r="H145" s="159">
        <v>2</v>
      </c>
      <c r="L145" s="156"/>
      <c r="M145" s="160"/>
      <c r="N145" s="307"/>
      <c r="O145" s="307"/>
      <c r="P145" s="307"/>
      <c r="Q145" s="307"/>
      <c r="R145" s="307"/>
      <c r="S145" s="307"/>
      <c r="T145" s="162"/>
      <c r="AT145" s="157" t="s">
        <v>145</v>
      </c>
      <c r="AU145" s="157" t="s">
        <v>82</v>
      </c>
      <c r="AV145" s="14" t="s">
        <v>82</v>
      </c>
      <c r="AW145" s="14" t="s">
        <v>34</v>
      </c>
      <c r="AX145" s="14" t="s">
        <v>80</v>
      </c>
      <c r="AY145" s="157" t="s">
        <v>138</v>
      </c>
    </row>
    <row r="146" spans="1:65" s="2" customFormat="1" ht="24.2" customHeight="1">
      <c r="A146" s="31"/>
      <c r="B146" s="136"/>
      <c r="C146" s="137">
        <v>20</v>
      </c>
      <c r="D146" s="137" t="s">
        <v>141</v>
      </c>
      <c r="E146" s="138" t="s">
        <v>771</v>
      </c>
      <c r="F146" s="139" t="s">
        <v>772</v>
      </c>
      <c r="G146" s="140" t="s">
        <v>187</v>
      </c>
      <c r="H146" s="141">
        <f>H140+H143</f>
        <v>7</v>
      </c>
      <c r="I146" s="142"/>
      <c r="J146" s="142">
        <f>ROUND(I146*H146,2)</f>
        <v>0</v>
      </c>
      <c r="K146" s="139" t="s">
        <v>148</v>
      </c>
      <c r="L146" s="32"/>
      <c r="M146" s="143" t="s">
        <v>3</v>
      </c>
      <c r="N146" s="144" t="s">
        <v>43</v>
      </c>
      <c r="O146" s="145">
        <v>3.7999999999999999E-2</v>
      </c>
      <c r="P146" s="145">
        <f>O146*H146</f>
        <v>0.26600000000000001</v>
      </c>
      <c r="Q146" s="145">
        <v>0</v>
      </c>
      <c r="R146" s="145">
        <f>Q146*H146</f>
        <v>0</v>
      </c>
      <c r="S146" s="145">
        <v>0</v>
      </c>
      <c r="T146" s="146">
        <f>S146*H146</f>
        <v>0</v>
      </c>
      <c r="U146" s="31"/>
      <c r="V146" s="31"/>
      <c r="W146" s="31"/>
      <c r="X146" s="31"/>
      <c r="Y146" s="31"/>
      <c r="Z146" s="31"/>
      <c r="AA146" s="31"/>
      <c r="AB146" s="31"/>
      <c r="AC146" s="31"/>
      <c r="AD146" s="31"/>
      <c r="AE146" s="31"/>
      <c r="AR146" s="147" t="s">
        <v>200</v>
      </c>
      <c r="AT146" s="147" t="s">
        <v>141</v>
      </c>
      <c r="AU146" s="147" t="s">
        <v>82</v>
      </c>
      <c r="AY146" s="19" t="s">
        <v>138</v>
      </c>
      <c r="BE146" s="148">
        <f>IF(N146="základní",J146,0)</f>
        <v>0</v>
      </c>
      <c r="BF146" s="148">
        <f>IF(N146="snížená",J146,0)</f>
        <v>0</v>
      </c>
      <c r="BG146" s="148">
        <f>IF(N146="zákl. přenesená",J146,0)</f>
        <v>0</v>
      </c>
      <c r="BH146" s="148">
        <f>IF(N146="sníž. přenesená",J146,0)</f>
        <v>0</v>
      </c>
      <c r="BI146" s="148">
        <f>IF(N146="nulová",J146,0)</f>
        <v>0</v>
      </c>
      <c r="BJ146" s="19" t="s">
        <v>80</v>
      </c>
      <c r="BK146" s="148">
        <f>ROUND(I146*H146,2)</f>
        <v>0</v>
      </c>
      <c r="BL146" s="19" t="s">
        <v>200</v>
      </c>
      <c r="BM146" s="147" t="s">
        <v>773</v>
      </c>
    </row>
    <row r="147" spans="1:65" s="13" customFormat="1">
      <c r="B147" s="149"/>
      <c r="D147" s="150" t="s">
        <v>145</v>
      </c>
      <c r="E147" s="151" t="s">
        <v>3</v>
      </c>
      <c r="F147" s="152" t="s">
        <v>198</v>
      </c>
      <c r="H147" s="151" t="s">
        <v>3</v>
      </c>
      <c r="L147" s="149"/>
      <c r="M147" s="153"/>
      <c r="N147" s="154"/>
      <c r="O147" s="154"/>
      <c r="P147" s="154"/>
      <c r="Q147" s="154"/>
      <c r="R147" s="154"/>
      <c r="S147" s="154"/>
      <c r="T147" s="155"/>
      <c r="AT147" s="151" t="s">
        <v>145</v>
      </c>
      <c r="AU147" s="151" t="s">
        <v>82</v>
      </c>
      <c r="AV147" s="13" t="s">
        <v>80</v>
      </c>
      <c r="AW147" s="13" t="s">
        <v>34</v>
      </c>
      <c r="AX147" s="13" t="s">
        <v>72</v>
      </c>
      <c r="AY147" s="151" t="s">
        <v>138</v>
      </c>
    </row>
    <row r="148" spans="1:65" s="2" customFormat="1" ht="49.15" customHeight="1">
      <c r="A148" s="31"/>
      <c r="B148" s="136"/>
      <c r="C148" s="137">
        <v>21</v>
      </c>
      <c r="D148" s="137" t="s">
        <v>141</v>
      </c>
      <c r="E148" s="138" t="s">
        <v>774</v>
      </c>
      <c r="F148" s="139" t="s">
        <v>775</v>
      </c>
      <c r="G148" s="140" t="s">
        <v>187</v>
      </c>
      <c r="H148" s="141">
        <f>H146</f>
        <v>7</v>
      </c>
      <c r="I148" s="142"/>
      <c r="J148" s="142">
        <f>ROUND(I148*H148,2)</f>
        <v>0</v>
      </c>
      <c r="K148" s="139" t="s">
        <v>148</v>
      </c>
      <c r="L148" s="32"/>
      <c r="M148" s="143" t="s">
        <v>3</v>
      </c>
      <c r="N148" s="144" t="s">
        <v>43</v>
      </c>
      <c r="O148" s="145">
        <v>0.11799999999999999</v>
      </c>
      <c r="P148" s="145">
        <f>O148*H148</f>
        <v>0.82599999999999996</v>
      </c>
      <c r="Q148" s="145">
        <v>2.0000000000000001E-4</v>
      </c>
      <c r="R148" s="145">
        <f>Q148*H148</f>
        <v>1.4E-3</v>
      </c>
      <c r="S148" s="145">
        <v>0</v>
      </c>
      <c r="T148" s="146">
        <f>S148*H148</f>
        <v>0</v>
      </c>
      <c r="U148" s="31"/>
      <c r="V148" s="31"/>
      <c r="W148" s="31"/>
      <c r="X148" s="31"/>
      <c r="Y148" s="31"/>
      <c r="Z148" s="31"/>
      <c r="AA148" s="31"/>
      <c r="AB148" s="31"/>
      <c r="AC148" s="31"/>
      <c r="AD148" s="31"/>
      <c r="AE148" s="31"/>
      <c r="AR148" s="147" t="s">
        <v>200</v>
      </c>
      <c r="AT148" s="147" t="s">
        <v>141</v>
      </c>
      <c r="AU148" s="147" t="s">
        <v>82</v>
      </c>
      <c r="AY148" s="19" t="s">
        <v>138</v>
      </c>
      <c r="BE148" s="148">
        <f>IF(N148="základní",J148,0)</f>
        <v>0</v>
      </c>
      <c r="BF148" s="148">
        <f>IF(N148="snížená",J148,0)</f>
        <v>0</v>
      </c>
      <c r="BG148" s="148">
        <f>IF(N148="zákl. přenesená",J148,0)</f>
        <v>0</v>
      </c>
      <c r="BH148" s="148">
        <f>IF(N148="sníž. přenesená",J148,0)</f>
        <v>0</v>
      </c>
      <c r="BI148" s="148">
        <f>IF(N148="nulová",J148,0)</f>
        <v>0</v>
      </c>
      <c r="BJ148" s="19" t="s">
        <v>80</v>
      </c>
      <c r="BK148" s="148">
        <f>ROUND(I148*H148,2)</f>
        <v>0</v>
      </c>
      <c r="BL148" s="19" t="s">
        <v>200</v>
      </c>
      <c r="BM148" s="147" t="s">
        <v>776</v>
      </c>
    </row>
    <row r="149" spans="1:65" s="2" customFormat="1" ht="39">
      <c r="A149" s="31"/>
      <c r="B149" s="32"/>
      <c r="C149" s="31"/>
      <c r="D149" s="150" t="s">
        <v>149</v>
      </c>
      <c r="E149" s="31"/>
      <c r="F149" s="163" t="s">
        <v>624</v>
      </c>
      <c r="G149" s="31"/>
      <c r="H149" s="31"/>
      <c r="I149" s="31"/>
      <c r="J149" s="31"/>
      <c r="K149" s="31"/>
      <c r="L149" s="32"/>
      <c r="M149" s="164"/>
      <c r="N149" s="165"/>
      <c r="O149" s="52"/>
      <c r="P149" s="52"/>
      <c r="Q149" s="52"/>
      <c r="R149" s="52"/>
      <c r="S149" s="52"/>
      <c r="T149" s="53"/>
      <c r="U149" s="31"/>
      <c r="V149" s="31"/>
      <c r="W149" s="31"/>
      <c r="X149" s="31"/>
      <c r="Y149" s="31"/>
      <c r="Z149" s="31"/>
      <c r="AA149" s="31"/>
      <c r="AB149" s="31"/>
      <c r="AC149" s="31"/>
      <c r="AD149" s="31"/>
      <c r="AE149" s="31"/>
      <c r="AT149" s="19" t="s">
        <v>149</v>
      </c>
      <c r="AU149" s="19" t="s">
        <v>82</v>
      </c>
    </row>
    <row r="150" spans="1:65" s="13" customFormat="1">
      <c r="B150" s="149"/>
      <c r="D150" s="150" t="s">
        <v>145</v>
      </c>
      <c r="E150" s="151" t="s">
        <v>3</v>
      </c>
      <c r="F150" s="152" t="s">
        <v>198</v>
      </c>
      <c r="H150" s="151" t="s">
        <v>3</v>
      </c>
      <c r="L150" s="149"/>
      <c r="M150" s="153"/>
      <c r="N150" s="154"/>
      <c r="O150" s="154"/>
      <c r="P150" s="154"/>
      <c r="Q150" s="154"/>
      <c r="R150" s="154"/>
      <c r="S150" s="154"/>
      <c r="T150" s="155"/>
      <c r="AT150" s="151" t="s">
        <v>145</v>
      </c>
      <c r="AU150" s="151" t="s">
        <v>82</v>
      </c>
      <c r="AV150" s="13" t="s">
        <v>80</v>
      </c>
      <c r="AW150" s="13" t="s">
        <v>34</v>
      </c>
      <c r="AX150" s="13" t="s">
        <v>72</v>
      </c>
      <c r="AY150" s="151" t="s">
        <v>138</v>
      </c>
    </row>
    <row r="151" spans="1:65" s="2" customFormat="1" ht="37.9" customHeight="1">
      <c r="A151" s="31"/>
      <c r="B151" s="136"/>
      <c r="C151" s="137">
        <v>22</v>
      </c>
      <c r="D151" s="137" t="s">
        <v>141</v>
      </c>
      <c r="E151" s="138" t="s">
        <v>777</v>
      </c>
      <c r="F151" s="139" t="s">
        <v>778</v>
      </c>
      <c r="G151" s="140" t="s">
        <v>308</v>
      </c>
      <c r="H151" s="141">
        <f>SUM(J140:J148)/100</f>
        <v>0</v>
      </c>
      <c r="I151" s="142"/>
      <c r="J151" s="142">
        <f>ROUND(I151*H151,2)</f>
        <v>0</v>
      </c>
      <c r="K151" s="139" t="s">
        <v>148</v>
      </c>
      <c r="L151" s="32"/>
      <c r="M151" s="143" t="s">
        <v>3</v>
      </c>
      <c r="N151" s="144" t="s">
        <v>43</v>
      </c>
      <c r="O151" s="145">
        <v>0</v>
      </c>
      <c r="P151" s="145">
        <f>O151*H151</f>
        <v>0</v>
      </c>
      <c r="Q151" s="145">
        <v>0</v>
      </c>
      <c r="R151" s="145">
        <f>Q151*H151</f>
        <v>0</v>
      </c>
      <c r="S151" s="145">
        <v>0</v>
      </c>
      <c r="T151" s="146">
        <f>S151*H151</f>
        <v>0</v>
      </c>
      <c r="U151" s="31"/>
      <c r="V151" s="31"/>
      <c r="W151" s="31"/>
      <c r="X151" s="31"/>
      <c r="Y151" s="31"/>
      <c r="Z151" s="31"/>
      <c r="AA151" s="31"/>
      <c r="AB151" s="31"/>
      <c r="AC151" s="31"/>
      <c r="AD151" s="31"/>
      <c r="AE151" s="31"/>
      <c r="AR151" s="147" t="s">
        <v>200</v>
      </c>
      <c r="AT151" s="147" t="s">
        <v>141</v>
      </c>
      <c r="AU151" s="147" t="s">
        <v>82</v>
      </c>
      <c r="AY151" s="19" t="s">
        <v>138</v>
      </c>
      <c r="BE151" s="148">
        <f>IF(N151="základní",J151,0)</f>
        <v>0</v>
      </c>
      <c r="BF151" s="148">
        <f>IF(N151="snížená",J151,0)</f>
        <v>0</v>
      </c>
      <c r="BG151" s="148">
        <f>IF(N151="zákl. přenesená",J151,0)</f>
        <v>0</v>
      </c>
      <c r="BH151" s="148">
        <f>IF(N151="sníž. přenesená",J151,0)</f>
        <v>0</v>
      </c>
      <c r="BI151" s="148">
        <f>IF(N151="nulová",J151,0)</f>
        <v>0</v>
      </c>
      <c r="BJ151" s="19" t="s">
        <v>80</v>
      </c>
      <c r="BK151" s="148">
        <f>ROUND(I151*H151,2)</f>
        <v>0</v>
      </c>
      <c r="BL151" s="19" t="s">
        <v>200</v>
      </c>
      <c r="BM151" s="147" t="s">
        <v>779</v>
      </c>
    </row>
    <row r="152" spans="1:65" s="2" customFormat="1" ht="126.75">
      <c r="A152" s="31"/>
      <c r="B152" s="32"/>
      <c r="C152" s="31"/>
      <c r="D152" s="150" t="s">
        <v>149</v>
      </c>
      <c r="E152" s="31"/>
      <c r="F152" s="163" t="s">
        <v>780</v>
      </c>
      <c r="G152" s="31"/>
      <c r="H152" s="31"/>
      <c r="I152" s="31"/>
      <c r="J152" s="31"/>
      <c r="K152" s="31"/>
      <c r="L152" s="32"/>
      <c r="M152" s="164"/>
      <c r="N152" s="165"/>
      <c r="O152" s="52"/>
      <c r="P152" s="52"/>
      <c r="Q152" s="52"/>
      <c r="R152" s="52"/>
      <c r="S152" s="52"/>
      <c r="T152" s="53"/>
      <c r="U152" s="31"/>
      <c r="V152" s="31"/>
      <c r="W152" s="31"/>
      <c r="X152" s="31"/>
      <c r="Y152" s="31"/>
      <c r="Z152" s="31"/>
      <c r="AA152" s="31"/>
      <c r="AB152" s="31"/>
      <c r="AC152" s="31"/>
      <c r="AD152" s="31"/>
      <c r="AE152" s="31"/>
      <c r="AT152" s="19" t="s">
        <v>149</v>
      </c>
      <c r="AU152" s="19" t="s">
        <v>82</v>
      </c>
    </row>
    <row r="153" spans="1:65" s="2" customFormat="1" ht="37.9" customHeight="1">
      <c r="A153" s="31"/>
      <c r="B153" s="136"/>
      <c r="C153" s="137">
        <v>23</v>
      </c>
      <c r="D153" s="137" t="s">
        <v>141</v>
      </c>
      <c r="E153" s="138" t="s">
        <v>781</v>
      </c>
      <c r="F153" s="139" t="s">
        <v>782</v>
      </c>
      <c r="G153" s="140" t="s">
        <v>308</v>
      </c>
      <c r="H153" s="141">
        <f>H151</f>
        <v>0</v>
      </c>
      <c r="I153" s="142"/>
      <c r="J153" s="142">
        <f>ROUND(I153*H153,2)</f>
        <v>0</v>
      </c>
      <c r="K153" s="139" t="s">
        <v>148</v>
      </c>
      <c r="L153" s="32"/>
      <c r="M153" s="143" t="s">
        <v>3</v>
      </c>
      <c r="N153" s="144" t="s">
        <v>43</v>
      </c>
      <c r="O153" s="145">
        <v>0</v>
      </c>
      <c r="P153" s="145">
        <f>O153*H153</f>
        <v>0</v>
      </c>
      <c r="Q153" s="145">
        <v>0</v>
      </c>
      <c r="R153" s="145">
        <f>Q153*H153</f>
        <v>0</v>
      </c>
      <c r="S153" s="145">
        <v>0</v>
      </c>
      <c r="T153" s="146">
        <f>S153*H153</f>
        <v>0</v>
      </c>
      <c r="U153" s="31"/>
      <c r="V153" s="31"/>
      <c r="W153" s="31"/>
      <c r="X153" s="31"/>
      <c r="Y153" s="31"/>
      <c r="Z153" s="31"/>
      <c r="AA153" s="31"/>
      <c r="AB153" s="31"/>
      <c r="AC153" s="31"/>
      <c r="AD153" s="31"/>
      <c r="AE153" s="31"/>
      <c r="AR153" s="147" t="s">
        <v>200</v>
      </c>
      <c r="AT153" s="147" t="s">
        <v>141</v>
      </c>
      <c r="AU153" s="147" t="s">
        <v>82</v>
      </c>
      <c r="AY153" s="19" t="s">
        <v>138</v>
      </c>
      <c r="BE153" s="148">
        <f>IF(N153="základní",J153,0)</f>
        <v>0</v>
      </c>
      <c r="BF153" s="148">
        <f>IF(N153="snížená",J153,0)</f>
        <v>0</v>
      </c>
      <c r="BG153" s="148">
        <f>IF(N153="zákl. přenesená",J153,0)</f>
        <v>0</v>
      </c>
      <c r="BH153" s="148">
        <f>IF(N153="sníž. přenesená",J153,0)</f>
        <v>0</v>
      </c>
      <c r="BI153" s="148">
        <f>IF(N153="nulová",J153,0)</f>
        <v>0</v>
      </c>
      <c r="BJ153" s="19" t="s">
        <v>80</v>
      </c>
      <c r="BK153" s="148">
        <f>ROUND(I153*H153,2)</f>
        <v>0</v>
      </c>
      <c r="BL153" s="19" t="s">
        <v>200</v>
      </c>
      <c r="BM153" s="147" t="s">
        <v>783</v>
      </c>
    </row>
    <row r="154" spans="1:65" s="2" customFormat="1" ht="126.75">
      <c r="A154" s="31"/>
      <c r="B154" s="32"/>
      <c r="C154" s="31"/>
      <c r="D154" s="150" t="s">
        <v>149</v>
      </c>
      <c r="E154" s="31"/>
      <c r="F154" s="163" t="s">
        <v>780</v>
      </c>
      <c r="G154" s="31"/>
      <c r="H154" s="31"/>
      <c r="I154" s="31"/>
      <c r="J154" s="31"/>
      <c r="K154" s="31"/>
      <c r="L154" s="32"/>
      <c r="M154" s="164"/>
      <c r="N154" s="165"/>
      <c r="O154" s="52"/>
      <c r="P154" s="52"/>
      <c r="Q154" s="52"/>
      <c r="R154" s="52"/>
      <c r="S154" s="52"/>
      <c r="T154" s="53"/>
      <c r="U154" s="31"/>
      <c r="V154" s="31"/>
      <c r="W154" s="31"/>
      <c r="X154" s="31"/>
      <c r="Y154" s="31"/>
      <c r="Z154" s="31"/>
      <c r="AA154" s="31"/>
      <c r="AB154" s="31"/>
      <c r="AC154" s="31"/>
      <c r="AD154" s="31"/>
      <c r="AE154" s="31"/>
      <c r="AT154" s="19" t="s">
        <v>149</v>
      </c>
      <c r="AU154" s="19" t="s">
        <v>82</v>
      </c>
    </row>
    <row r="155" spans="1:65" s="12" customFormat="1" ht="22.9" customHeight="1">
      <c r="B155" s="124"/>
      <c r="D155" s="125" t="s">
        <v>71</v>
      </c>
      <c r="E155" s="134" t="s">
        <v>784</v>
      </c>
      <c r="F155" s="134" t="s">
        <v>785</v>
      </c>
      <c r="J155" s="135">
        <f>BK155</f>
        <v>0</v>
      </c>
      <c r="L155" s="124"/>
      <c r="M155" s="128"/>
      <c r="N155" s="129"/>
      <c r="O155" s="129"/>
      <c r="P155" s="130">
        <f>SUM(P156:P166)</f>
        <v>1.0499999999999998</v>
      </c>
      <c r="Q155" s="129"/>
      <c r="R155" s="130">
        <f>SUM(R156:R166)</f>
        <v>3.3E-3</v>
      </c>
      <c r="S155" s="129"/>
      <c r="T155" s="131">
        <f>SUM(T156:T166)</f>
        <v>0</v>
      </c>
      <c r="AR155" s="125" t="s">
        <v>82</v>
      </c>
      <c r="AT155" s="132" t="s">
        <v>71</v>
      </c>
      <c r="AU155" s="132" t="s">
        <v>80</v>
      </c>
      <c r="AY155" s="125" t="s">
        <v>138</v>
      </c>
      <c r="BK155" s="133">
        <f>SUM(BK156:BK166)</f>
        <v>0</v>
      </c>
    </row>
    <row r="156" spans="1:65" s="2" customFormat="1" ht="24.2" customHeight="1">
      <c r="A156" s="31"/>
      <c r="B156" s="136"/>
      <c r="C156" s="137">
        <v>24</v>
      </c>
      <c r="D156" s="137" t="s">
        <v>141</v>
      </c>
      <c r="E156" s="138" t="s">
        <v>786</v>
      </c>
      <c r="F156" s="139" t="s">
        <v>787</v>
      </c>
      <c r="G156" s="140" t="s">
        <v>147</v>
      </c>
      <c r="H156" s="141">
        <f>H159</f>
        <v>3</v>
      </c>
      <c r="I156" s="142"/>
      <c r="J156" s="142">
        <f>ROUND(I156*H156,2)</f>
        <v>0</v>
      </c>
      <c r="K156" s="139" t="s">
        <v>148</v>
      </c>
      <c r="L156" s="32"/>
      <c r="M156" s="143" t="s">
        <v>3</v>
      </c>
      <c r="N156" s="144" t="s">
        <v>43</v>
      </c>
      <c r="O156" s="145">
        <v>0.15</v>
      </c>
      <c r="P156" s="145">
        <f>O156*H156</f>
        <v>0.44999999999999996</v>
      </c>
      <c r="Q156" s="145">
        <v>2.5999999999999998E-4</v>
      </c>
      <c r="R156" s="145">
        <f>Q156*H156</f>
        <v>7.7999999999999988E-4</v>
      </c>
      <c r="S156" s="145">
        <v>0</v>
      </c>
      <c r="T156" s="146">
        <f>S156*H156</f>
        <v>0</v>
      </c>
      <c r="U156" s="31"/>
      <c r="V156" s="31"/>
      <c r="W156" s="31"/>
      <c r="X156" s="31"/>
      <c r="Y156" s="31"/>
      <c r="Z156" s="31"/>
      <c r="AA156" s="31"/>
      <c r="AB156" s="31"/>
      <c r="AC156" s="31"/>
      <c r="AD156" s="31"/>
      <c r="AE156" s="31"/>
      <c r="AR156" s="147" t="s">
        <v>200</v>
      </c>
      <c r="AT156" s="147" t="s">
        <v>141</v>
      </c>
      <c r="AU156" s="147" t="s">
        <v>82</v>
      </c>
      <c r="AY156" s="19" t="s">
        <v>138</v>
      </c>
      <c r="BE156" s="148">
        <f>IF(N156="základní",J156,0)</f>
        <v>0</v>
      </c>
      <c r="BF156" s="148">
        <f>IF(N156="snížená",J156,0)</f>
        <v>0</v>
      </c>
      <c r="BG156" s="148">
        <f>IF(N156="zákl. přenesená",J156,0)</f>
        <v>0</v>
      </c>
      <c r="BH156" s="148">
        <f>IF(N156="sníž. přenesená",J156,0)</f>
        <v>0</v>
      </c>
      <c r="BI156" s="148">
        <f>IF(N156="nulová",J156,0)</f>
        <v>0</v>
      </c>
      <c r="BJ156" s="19" t="s">
        <v>80</v>
      </c>
      <c r="BK156" s="148">
        <f>ROUND(I156*H156,2)</f>
        <v>0</v>
      </c>
      <c r="BL156" s="19" t="s">
        <v>200</v>
      </c>
      <c r="BM156" s="147" t="s">
        <v>788</v>
      </c>
    </row>
    <row r="157" spans="1:65" s="2" customFormat="1" ht="48.75">
      <c r="A157" s="31"/>
      <c r="B157" s="32"/>
      <c r="C157" s="31"/>
      <c r="D157" s="150" t="s">
        <v>149</v>
      </c>
      <c r="E157" s="31"/>
      <c r="F157" s="163" t="s">
        <v>789</v>
      </c>
      <c r="G157" s="31"/>
      <c r="H157" s="31"/>
      <c r="I157" s="31"/>
      <c r="J157" s="31"/>
      <c r="K157" s="31"/>
      <c r="L157" s="32"/>
      <c r="M157" s="164"/>
      <c r="N157" s="165"/>
      <c r="O157" s="52"/>
      <c r="P157" s="52"/>
      <c r="Q157" s="52"/>
      <c r="R157" s="52"/>
      <c r="S157" s="52"/>
      <c r="T157" s="53"/>
      <c r="U157" s="31"/>
      <c r="V157" s="31"/>
      <c r="W157" s="31"/>
      <c r="X157" s="31"/>
      <c r="Y157" s="31"/>
      <c r="Z157" s="31"/>
      <c r="AA157" s="31"/>
      <c r="AB157" s="31"/>
      <c r="AC157" s="31"/>
      <c r="AD157" s="31"/>
      <c r="AE157" s="31"/>
      <c r="AT157" s="19" t="s">
        <v>149</v>
      </c>
      <c r="AU157" s="19" t="s">
        <v>82</v>
      </c>
    </row>
    <row r="158" spans="1:65" s="13" customFormat="1">
      <c r="B158" s="149"/>
      <c r="D158" s="150" t="s">
        <v>145</v>
      </c>
      <c r="E158" s="151" t="s">
        <v>3</v>
      </c>
      <c r="F158" s="152" t="s">
        <v>763</v>
      </c>
      <c r="H158" s="151" t="s">
        <v>3</v>
      </c>
      <c r="L158" s="149"/>
      <c r="M158" s="153"/>
      <c r="N158" s="154"/>
      <c r="O158" s="154"/>
      <c r="P158" s="154"/>
      <c r="Q158" s="154"/>
      <c r="R158" s="154"/>
      <c r="S158" s="154"/>
      <c r="T158" s="155"/>
      <c r="AT158" s="151" t="s">
        <v>145</v>
      </c>
      <c r="AU158" s="151" t="s">
        <v>82</v>
      </c>
      <c r="AV158" s="13" t="s">
        <v>80</v>
      </c>
      <c r="AW158" s="13" t="s">
        <v>34</v>
      </c>
      <c r="AX158" s="13" t="s">
        <v>72</v>
      </c>
      <c r="AY158" s="151" t="s">
        <v>138</v>
      </c>
    </row>
    <row r="159" spans="1:65" s="14" customFormat="1">
      <c r="B159" s="156"/>
      <c r="D159" s="150" t="s">
        <v>145</v>
      </c>
      <c r="E159" s="157" t="s">
        <v>3</v>
      </c>
      <c r="F159" s="158">
        <v>3</v>
      </c>
      <c r="H159" s="159">
        <v>3</v>
      </c>
      <c r="L159" s="156"/>
      <c r="M159" s="160"/>
      <c r="N159" s="161"/>
      <c r="O159" s="161"/>
      <c r="P159" s="161"/>
      <c r="Q159" s="161"/>
      <c r="R159" s="161"/>
      <c r="S159" s="161"/>
      <c r="T159" s="162"/>
      <c r="AT159" s="157" t="s">
        <v>145</v>
      </c>
      <c r="AU159" s="157" t="s">
        <v>82</v>
      </c>
      <c r="AV159" s="14" t="s">
        <v>82</v>
      </c>
      <c r="AW159" s="14" t="s">
        <v>34</v>
      </c>
      <c r="AX159" s="14" t="s">
        <v>80</v>
      </c>
      <c r="AY159" s="157" t="s">
        <v>138</v>
      </c>
    </row>
    <row r="160" spans="1:65" s="2" customFormat="1" ht="37.9" customHeight="1">
      <c r="A160" s="31"/>
      <c r="B160" s="136"/>
      <c r="C160" s="137">
        <v>25</v>
      </c>
      <c r="D160" s="137" t="s">
        <v>141</v>
      </c>
      <c r="E160" s="138" t="s">
        <v>790</v>
      </c>
      <c r="F160" s="139" t="s">
        <v>791</v>
      </c>
      <c r="G160" s="140" t="s">
        <v>147</v>
      </c>
      <c r="H160" s="141">
        <f>H159</f>
        <v>3</v>
      </c>
      <c r="I160" s="142"/>
      <c r="J160" s="142">
        <f>ROUND(I160*H160,2)</f>
        <v>0</v>
      </c>
      <c r="K160" s="139" t="s">
        <v>148</v>
      </c>
      <c r="L160" s="32"/>
      <c r="M160" s="143" t="s">
        <v>3</v>
      </c>
      <c r="N160" s="144" t="s">
        <v>43</v>
      </c>
      <c r="O160" s="145">
        <v>3.5000000000000003E-2</v>
      </c>
      <c r="P160" s="145">
        <f>O160*H160</f>
        <v>0.10500000000000001</v>
      </c>
      <c r="Q160" s="145">
        <v>1.3999999999999999E-4</v>
      </c>
      <c r="R160" s="145">
        <f>Q160*H160</f>
        <v>4.1999999999999996E-4</v>
      </c>
      <c r="S160" s="145">
        <v>0</v>
      </c>
      <c r="T160" s="146">
        <f>S160*H160</f>
        <v>0</v>
      </c>
      <c r="U160" s="31"/>
      <c r="V160" s="31"/>
      <c r="W160" s="31"/>
      <c r="X160" s="31"/>
      <c r="Y160" s="31"/>
      <c r="Z160" s="31"/>
      <c r="AA160" s="31"/>
      <c r="AB160" s="31"/>
      <c r="AC160" s="31"/>
      <c r="AD160" s="31"/>
      <c r="AE160" s="31"/>
      <c r="AR160" s="147" t="s">
        <v>200</v>
      </c>
      <c r="AT160" s="147" t="s">
        <v>141</v>
      </c>
      <c r="AU160" s="147" t="s">
        <v>82</v>
      </c>
      <c r="AY160" s="19" t="s">
        <v>138</v>
      </c>
      <c r="BE160" s="148">
        <f>IF(N160="základní",J160,0)</f>
        <v>0</v>
      </c>
      <c r="BF160" s="148">
        <f>IF(N160="snížená",J160,0)</f>
        <v>0</v>
      </c>
      <c r="BG160" s="148">
        <f>IF(N160="zákl. přenesená",J160,0)</f>
        <v>0</v>
      </c>
      <c r="BH160" s="148">
        <f>IF(N160="sníž. přenesená",J160,0)</f>
        <v>0</v>
      </c>
      <c r="BI160" s="148">
        <f>IF(N160="nulová",J160,0)</f>
        <v>0</v>
      </c>
      <c r="BJ160" s="19" t="s">
        <v>80</v>
      </c>
      <c r="BK160" s="148">
        <f>ROUND(I160*H160,2)</f>
        <v>0</v>
      </c>
      <c r="BL160" s="19" t="s">
        <v>200</v>
      </c>
      <c r="BM160" s="147" t="s">
        <v>792</v>
      </c>
    </row>
    <row r="161" spans="1:65" s="2" customFormat="1" ht="48.75">
      <c r="A161" s="31"/>
      <c r="B161" s="32"/>
      <c r="C161" s="31"/>
      <c r="D161" s="150" t="s">
        <v>149</v>
      </c>
      <c r="E161" s="31"/>
      <c r="F161" s="163" t="s">
        <v>789</v>
      </c>
      <c r="G161" s="31"/>
      <c r="H161" s="31"/>
      <c r="I161" s="31"/>
      <c r="J161" s="31"/>
      <c r="K161" s="31"/>
      <c r="L161" s="32"/>
      <c r="M161" s="164"/>
      <c r="N161" s="165"/>
      <c r="O161" s="52"/>
      <c r="P161" s="52"/>
      <c r="Q161" s="52"/>
      <c r="R161" s="52"/>
      <c r="S161" s="52"/>
      <c r="T161" s="53"/>
      <c r="U161" s="31"/>
      <c r="V161" s="31"/>
      <c r="W161" s="31"/>
      <c r="X161" s="31"/>
      <c r="Y161" s="31"/>
      <c r="Z161" s="31"/>
      <c r="AA161" s="31"/>
      <c r="AB161" s="31"/>
      <c r="AC161" s="31"/>
      <c r="AD161" s="31"/>
      <c r="AE161" s="31"/>
      <c r="AT161" s="19" t="s">
        <v>149</v>
      </c>
      <c r="AU161" s="19" t="s">
        <v>82</v>
      </c>
    </row>
    <row r="162" spans="1:65" s="2" customFormat="1" ht="24.2" customHeight="1">
      <c r="A162" s="31"/>
      <c r="B162" s="136"/>
      <c r="C162" s="137">
        <v>26</v>
      </c>
      <c r="D162" s="137" t="s">
        <v>141</v>
      </c>
      <c r="E162" s="138" t="s">
        <v>793</v>
      </c>
      <c r="F162" s="139" t="s">
        <v>794</v>
      </c>
      <c r="G162" s="140" t="s">
        <v>147</v>
      </c>
      <c r="H162" s="141">
        <f>H156</f>
        <v>3</v>
      </c>
      <c r="I162" s="142"/>
      <c r="J162" s="142">
        <f>ROUND(I162*H162,2)</f>
        <v>0</v>
      </c>
      <c r="K162" s="139" t="s">
        <v>148</v>
      </c>
      <c r="L162" s="32"/>
      <c r="M162" s="143" t="s">
        <v>3</v>
      </c>
      <c r="N162" s="144" t="s">
        <v>43</v>
      </c>
      <c r="O162" s="145">
        <v>0.16500000000000001</v>
      </c>
      <c r="P162" s="145">
        <f>O162*H162</f>
        <v>0.495</v>
      </c>
      <c r="Q162" s="145">
        <v>6.9999999999999999E-4</v>
      </c>
      <c r="R162" s="145">
        <f>Q162*H162</f>
        <v>2.0999999999999999E-3</v>
      </c>
      <c r="S162" s="145">
        <v>0</v>
      </c>
      <c r="T162" s="146">
        <f>S162*H162</f>
        <v>0</v>
      </c>
      <c r="U162" s="31"/>
      <c r="V162" s="31"/>
      <c r="W162" s="31"/>
      <c r="X162" s="31"/>
      <c r="Y162" s="31"/>
      <c r="Z162" s="31"/>
      <c r="AA162" s="31"/>
      <c r="AB162" s="31"/>
      <c r="AC162" s="31"/>
      <c r="AD162" s="31"/>
      <c r="AE162" s="31"/>
      <c r="AR162" s="147" t="s">
        <v>200</v>
      </c>
      <c r="AT162" s="147" t="s">
        <v>141</v>
      </c>
      <c r="AU162" s="147" t="s">
        <v>82</v>
      </c>
      <c r="AY162" s="19" t="s">
        <v>138</v>
      </c>
      <c r="BE162" s="148">
        <f>IF(N162="základní",J162,0)</f>
        <v>0</v>
      </c>
      <c r="BF162" s="148">
        <f>IF(N162="snížená",J162,0)</f>
        <v>0</v>
      </c>
      <c r="BG162" s="148">
        <f>IF(N162="zákl. přenesená",J162,0)</f>
        <v>0</v>
      </c>
      <c r="BH162" s="148">
        <f>IF(N162="sníž. přenesená",J162,0)</f>
        <v>0</v>
      </c>
      <c r="BI162" s="148">
        <f>IF(N162="nulová",J162,0)</f>
        <v>0</v>
      </c>
      <c r="BJ162" s="19" t="s">
        <v>80</v>
      </c>
      <c r="BK162" s="148">
        <f>ROUND(I162*H162,2)</f>
        <v>0</v>
      </c>
      <c r="BL162" s="19" t="s">
        <v>200</v>
      </c>
      <c r="BM162" s="147" t="s">
        <v>795</v>
      </c>
    </row>
    <row r="163" spans="1:65" s="2" customFormat="1" ht="37.9" customHeight="1">
      <c r="A163" s="31"/>
      <c r="B163" s="136"/>
      <c r="C163" s="137">
        <v>27</v>
      </c>
      <c r="D163" s="137" t="s">
        <v>141</v>
      </c>
      <c r="E163" s="138" t="s">
        <v>796</v>
      </c>
      <c r="F163" s="139" t="s">
        <v>797</v>
      </c>
      <c r="G163" s="140" t="s">
        <v>308</v>
      </c>
      <c r="H163" s="141">
        <f>SUM(J156:J162)/100</f>
        <v>0</v>
      </c>
      <c r="I163" s="142"/>
      <c r="J163" s="142">
        <f>ROUND(I163*H163,2)</f>
        <v>0</v>
      </c>
      <c r="K163" s="139" t="s">
        <v>148</v>
      </c>
      <c r="L163" s="32"/>
      <c r="M163" s="143" t="s">
        <v>3</v>
      </c>
      <c r="N163" s="144" t="s">
        <v>43</v>
      </c>
      <c r="O163" s="145">
        <v>0</v>
      </c>
      <c r="P163" s="145">
        <f>O163*H163</f>
        <v>0</v>
      </c>
      <c r="Q163" s="145">
        <v>0</v>
      </c>
      <c r="R163" s="145">
        <f>Q163*H163</f>
        <v>0</v>
      </c>
      <c r="S163" s="145">
        <v>0</v>
      </c>
      <c r="T163" s="146">
        <f>S163*H163</f>
        <v>0</v>
      </c>
      <c r="U163" s="31"/>
      <c r="V163" s="31"/>
      <c r="W163" s="31"/>
      <c r="X163" s="31"/>
      <c r="Y163" s="31"/>
      <c r="Z163" s="31"/>
      <c r="AA163" s="31"/>
      <c r="AB163" s="31"/>
      <c r="AC163" s="31"/>
      <c r="AD163" s="31"/>
      <c r="AE163" s="31"/>
      <c r="AR163" s="147" t="s">
        <v>200</v>
      </c>
      <c r="AT163" s="147" t="s">
        <v>141</v>
      </c>
      <c r="AU163" s="147" t="s">
        <v>82</v>
      </c>
      <c r="AY163" s="19" t="s">
        <v>138</v>
      </c>
      <c r="BE163" s="148">
        <f>IF(N163="základní",J163,0)</f>
        <v>0</v>
      </c>
      <c r="BF163" s="148">
        <f>IF(N163="snížená",J163,0)</f>
        <v>0</v>
      </c>
      <c r="BG163" s="148">
        <f>IF(N163="zákl. přenesená",J163,0)</f>
        <v>0</v>
      </c>
      <c r="BH163" s="148">
        <f>IF(N163="sníž. přenesená",J163,0)</f>
        <v>0</v>
      </c>
      <c r="BI163" s="148">
        <f>IF(N163="nulová",J163,0)</f>
        <v>0</v>
      </c>
      <c r="BJ163" s="19" t="s">
        <v>80</v>
      </c>
      <c r="BK163" s="148">
        <f>ROUND(I163*H163,2)</f>
        <v>0</v>
      </c>
      <c r="BL163" s="19" t="s">
        <v>200</v>
      </c>
      <c r="BM163" s="147" t="s">
        <v>798</v>
      </c>
    </row>
    <row r="164" spans="1:65" s="2" customFormat="1" ht="126.75">
      <c r="A164" s="31"/>
      <c r="B164" s="32"/>
      <c r="C164" s="31"/>
      <c r="D164" s="150" t="s">
        <v>149</v>
      </c>
      <c r="E164" s="31"/>
      <c r="F164" s="163" t="s">
        <v>799</v>
      </c>
      <c r="G164" s="31"/>
      <c r="H164" s="31"/>
      <c r="I164" s="31"/>
      <c r="J164" s="31"/>
      <c r="K164" s="31"/>
      <c r="L164" s="32"/>
      <c r="M164" s="164"/>
      <c r="N164" s="165"/>
      <c r="O164" s="52"/>
      <c r="P164" s="52"/>
      <c r="Q164" s="52"/>
      <c r="R164" s="52"/>
      <c r="S164" s="52"/>
      <c r="T164" s="53"/>
      <c r="U164" s="31"/>
      <c r="V164" s="31"/>
      <c r="W164" s="31"/>
      <c r="X164" s="31"/>
      <c r="Y164" s="31"/>
      <c r="Z164" s="31"/>
      <c r="AA164" s="31"/>
      <c r="AB164" s="31"/>
      <c r="AC164" s="31"/>
      <c r="AD164" s="31"/>
      <c r="AE164" s="31"/>
      <c r="AT164" s="19" t="s">
        <v>149</v>
      </c>
      <c r="AU164" s="19" t="s">
        <v>82</v>
      </c>
    </row>
    <row r="165" spans="1:65" s="2" customFormat="1" ht="37.9" customHeight="1">
      <c r="A165" s="31"/>
      <c r="B165" s="136"/>
      <c r="C165" s="137">
        <v>28</v>
      </c>
      <c r="D165" s="137" t="s">
        <v>141</v>
      </c>
      <c r="E165" s="138" t="s">
        <v>800</v>
      </c>
      <c r="F165" s="139" t="s">
        <v>801</v>
      </c>
      <c r="G165" s="140" t="s">
        <v>308</v>
      </c>
      <c r="H165" s="141">
        <f>H163</f>
        <v>0</v>
      </c>
      <c r="I165" s="142"/>
      <c r="J165" s="142">
        <f>ROUND(I165*H165,2)</f>
        <v>0</v>
      </c>
      <c r="K165" s="139" t="s">
        <v>148</v>
      </c>
      <c r="L165" s="32"/>
      <c r="M165" s="143" t="s">
        <v>3</v>
      </c>
      <c r="N165" s="144" t="s">
        <v>43</v>
      </c>
      <c r="O165" s="145">
        <v>0</v>
      </c>
      <c r="P165" s="145">
        <f>O165*H165</f>
        <v>0</v>
      </c>
      <c r="Q165" s="145">
        <v>0</v>
      </c>
      <c r="R165" s="145">
        <f>Q165*H165</f>
        <v>0</v>
      </c>
      <c r="S165" s="145">
        <v>0</v>
      </c>
      <c r="T165" s="146">
        <f>S165*H165</f>
        <v>0</v>
      </c>
      <c r="U165" s="31"/>
      <c r="V165" s="31"/>
      <c r="W165" s="31"/>
      <c r="X165" s="31"/>
      <c r="Y165" s="31"/>
      <c r="Z165" s="31"/>
      <c r="AA165" s="31"/>
      <c r="AB165" s="31"/>
      <c r="AC165" s="31"/>
      <c r="AD165" s="31"/>
      <c r="AE165" s="31"/>
      <c r="AR165" s="147" t="s">
        <v>200</v>
      </c>
      <c r="AT165" s="147" t="s">
        <v>141</v>
      </c>
      <c r="AU165" s="147" t="s">
        <v>82</v>
      </c>
      <c r="AY165" s="19" t="s">
        <v>138</v>
      </c>
      <c r="BE165" s="148">
        <f>IF(N165="základní",J165,0)</f>
        <v>0</v>
      </c>
      <c r="BF165" s="148">
        <f>IF(N165="snížená",J165,0)</f>
        <v>0</v>
      </c>
      <c r="BG165" s="148">
        <f>IF(N165="zákl. přenesená",J165,0)</f>
        <v>0</v>
      </c>
      <c r="BH165" s="148">
        <f>IF(N165="sníž. přenesená",J165,0)</f>
        <v>0</v>
      </c>
      <c r="BI165" s="148">
        <f>IF(N165="nulová",J165,0)</f>
        <v>0</v>
      </c>
      <c r="BJ165" s="19" t="s">
        <v>80</v>
      </c>
      <c r="BK165" s="148">
        <f>ROUND(I165*H165,2)</f>
        <v>0</v>
      </c>
      <c r="BL165" s="19" t="s">
        <v>200</v>
      </c>
      <c r="BM165" s="147" t="s">
        <v>802</v>
      </c>
    </row>
    <row r="166" spans="1:65" s="2" customFormat="1" ht="126.75">
      <c r="A166" s="31"/>
      <c r="B166" s="32"/>
      <c r="C166" s="31"/>
      <c r="D166" s="150" t="s">
        <v>149</v>
      </c>
      <c r="E166" s="31"/>
      <c r="F166" s="163" t="s">
        <v>799</v>
      </c>
      <c r="G166" s="31"/>
      <c r="H166" s="31"/>
      <c r="I166" s="31"/>
      <c r="J166" s="31"/>
      <c r="K166" s="31"/>
      <c r="L166" s="32"/>
      <c r="M166" s="164"/>
      <c r="N166" s="165"/>
      <c r="O166" s="52"/>
      <c r="P166" s="52"/>
      <c r="Q166" s="52"/>
      <c r="R166" s="52"/>
      <c r="S166" s="52"/>
      <c r="T166" s="53"/>
      <c r="U166" s="31"/>
      <c r="V166" s="31"/>
      <c r="W166" s="31"/>
      <c r="X166" s="31"/>
      <c r="Y166" s="31"/>
      <c r="Z166" s="31"/>
      <c r="AA166" s="31"/>
      <c r="AB166" s="31"/>
      <c r="AC166" s="31"/>
      <c r="AD166" s="31"/>
      <c r="AE166" s="31"/>
      <c r="AT166" s="19" t="s">
        <v>149</v>
      </c>
      <c r="AU166" s="19" t="s">
        <v>82</v>
      </c>
    </row>
    <row r="167" spans="1:65" s="12" customFormat="1" ht="22.9" customHeight="1">
      <c r="B167" s="124"/>
      <c r="D167" s="125" t="s">
        <v>71</v>
      </c>
      <c r="E167" s="134" t="s">
        <v>803</v>
      </c>
      <c r="F167" s="134" t="s">
        <v>804</v>
      </c>
      <c r="J167" s="135">
        <f>BK167</f>
        <v>0</v>
      </c>
      <c r="L167" s="124"/>
      <c r="M167" s="128"/>
      <c r="N167" s="129"/>
      <c r="O167" s="129"/>
      <c r="P167" s="130">
        <f>SUM(P168:P175)</f>
        <v>0.84000000000000008</v>
      </c>
      <c r="Q167" s="129"/>
      <c r="R167" s="130">
        <f>SUM(R168:R175)</f>
        <v>8.4839999999999999E-2</v>
      </c>
      <c r="S167" s="129"/>
      <c r="T167" s="131">
        <f>SUM(T168:T175)</f>
        <v>0</v>
      </c>
      <c r="AR167" s="125" t="s">
        <v>82</v>
      </c>
      <c r="AT167" s="132" t="s">
        <v>71</v>
      </c>
      <c r="AU167" s="132" t="s">
        <v>80</v>
      </c>
      <c r="AY167" s="125" t="s">
        <v>138</v>
      </c>
      <c r="BK167" s="133">
        <f>SUM(BK168:BK175)</f>
        <v>0</v>
      </c>
    </row>
    <row r="168" spans="1:65" s="2" customFormat="1" ht="49.15" customHeight="1">
      <c r="A168" s="31"/>
      <c r="B168" s="136"/>
      <c r="C168" s="137">
        <v>29</v>
      </c>
      <c r="D168" s="137" t="s">
        <v>141</v>
      </c>
      <c r="E168" s="138" t="s">
        <v>806</v>
      </c>
      <c r="F168" s="139" t="s">
        <v>807</v>
      </c>
      <c r="G168" s="140" t="s">
        <v>147</v>
      </c>
      <c r="H168" s="141">
        <f>H171</f>
        <v>3</v>
      </c>
      <c r="I168" s="142"/>
      <c r="J168" s="142">
        <f>ROUND(I168*H168,2)</f>
        <v>0</v>
      </c>
      <c r="K168" s="139" t="s">
        <v>148</v>
      </c>
      <c r="L168" s="32"/>
      <c r="M168" s="143" t="s">
        <v>3</v>
      </c>
      <c r="N168" s="144" t="s">
        <v>43</v>
      </c>
      <c r="O168" s="145">
        <v>0.28000000000000003</v>
      </c>
      <c r="P168" s="145">
        <f>O168*H168</f>
        <v>0.84000000000000008</v>
      </c>
      <c r="Q168" s="145">
        <v>2.828E-2</v>
      </c>
      <c r="R168" s="145">
        <f>Q168*H168</f>
        <v>8.4839999999999999E-2</v>
      </c>
      <c r="S168" s="145">
        <v>0</v>
      </c>
      <c r="T168" s="146">
        <f>S168*H168</f>
        <v>0</v>
      </c>
      <c r="U168" s="31"/>
      <c r="V168" s="31"/>
      <c r="W168" s="31"/>
      <c r="X168" s="31"/>
      <c r="Y168" s="31"/>
      <c r="Z168" s="31"/>
      <c r="AA168" s="31"/>
      <c r="AB168" s="31"/>
      <c r="AC168" s="31"/>
      <c r="AD168" s="31"/>
      <c r="AE168" s="31"/>
      <c r="AR168" s="147" t="s">
        <v>200</v>
      </c>
      <c r="AT168" s="147" t="s">
        <v>141</v>
      </c>
      <c r="AU168" s="147" t="s">
        <v>82</v>
      </c>
      <c r="AY168" s="19" t="s">
        <v>138</v>
      </c>
      <c r="BE168" s="148">
        <f>IF(N168="základní",J168,0)</f>
        <v>0</v>
      </c>
      <c r="BF168" s="148">
        <f>IF(N168="snížená",J168,0)</f>
        <v>0</v>
      </c>
      <c r="BG168" s="148">
        <f>IF(N168="zákl. přenesená",J168,0)</f>
        <v>0</v>
      </c>
      <c r="BH168" s="148">
        <f>IF(N168="sníž. přenesená",J168,0)</f>
        <v>0</v>
      </c>
      <c r="BI168" s="148">
        <f>IF(N168="nulová",J168,0)</f>
        <v>0</v>
      </c>
      <c r="BJ168" s="19" t="s">
        <v>80</v>
      </c>
      <c r="BK168" s="148">
        <f>ROUND(I168*H168,2)</f>
        <v>0</v>
      </c>
      <c r="BL168" s="19" t="s">
        <v>200</v>
      </c>
      <c r="BM168" s="147" t="s">
        <v>808</v>
      </c>
    </row>
    <row r="169" spans="1:65" s="2" customFormat="1" ht="29.25">
      <c r="A169" s="31"/>
      <c r="B169" s="32"/>
      <c r="C169" s="31"/>
      <c r="D169" s="150" t="s">
        <v>149</v>
      </c>
      <c r="E169" s="31"/>
      <c r="F169" s="163" t="s">
        <v>805</v>
      </c>
      <c r="G169" s="31"/>
      <c r="H169" s="31"/>
      <c r="I169" s="31"/>
      <c r="J169" s="31"/>
      <c r="K169" s="31"/>
      <c r="L169" s="32"/>
      <c r="M169" s="164"/>
      <c r="N169" s="165"/>
      <c r="O169" s="52"/>
      <c r="P169" s="52"/>
      <c r="Q169" s="52"/>
      <c r="R169" s="52"/>
      <c r="S169" s="52"/>
      <c r="T169" s="53"/>
      <c r="U169" s="31"/>
      <c r="V169" s="31"/>
      <c r="W169" s="31"/>
      <c r="X169" s="31"/>
      <c r="Y169" s="31"/>
      <c r="Z169" s="31"/>
      <c r="AA169" s="31"/>
      <c r="AB169" s="31"/>
      <c r="AC169" s="31"/>
      <c r="AD169" s="31"/>
      <c r="AE169" s="31"/>
      <c r="AT169" s="19" t="s">
        <v>149</v>
      </c>
      <c r="AU169" s="19" t="s">
        <v>82</v>
      </c>
    </row>
    <row r="170" spans="1:65" s="13" customFormat="1">
      <c r="B170" s="149"/>
      <c r="D170" s="150" t="s">
        <v>145</v>
      </c>
      <c r="E170" s="151" t="s">
        <v>3</v>
      </c>
      <c r="F170" s="152" t="s">
        <v>763</v>
      </c>
      <c r="H170" s="151" t="s">
        <v>3</v>
      </c>
      <c r="L170" s="149"/>
      <c r="M170" s="153"/>
      <c r="N170" s="154"/>
      <c r="O170" s="154"/>
      <c r="P170" s="154"/>
      <c r="Q170" s="154"/>
      <c r="R170" s="154"/>
      <c r="S170" s="154"/>
      <c r="T170" s="155"/>
      <c r="AT170" s="151" t="s">
        <v>145</v>
      </c>
      <c r="AU170" s="151" t="s">
        <v>82</v>
      </c>
      <c r="AV170" s="13" t="s">
        <v>80</v>
      </c>
      <c r="AW170" s="13" t="s">
        <v>34</v>
      </c>
      <c r="AX170" s="13" t="s">
        <v>72</v>
      </c>
      <c r="AY170" s="151" t="s">
        <v>138</v>
      </c>
    </row>
    <row r="171" spans="1:65" s="14" customFormat="1">
      <c r="B171" s="156"/>
      <c r="D171" s="150" t="s">
        <v>145</v>
      </c>
      <c r="E171" s="157" t="s">
        <v>3</v>
      </c>
      <c r="F171" s="158" t="s">
        <v>1326</v>
      </c>
      <c r="H171" s="159">
        <v>3</v>
      </c>
      <c r="L171" s="156"/>
      <c r="M171" s="160"/>
      <c r="N171" s="161"/>
      <c r="O171" s="161"/>
      <c r="P171" s="161"/>
      <c r="Q171" s="161"/>
      <c r="R171" s="161"/>
      <c r="S171" s="161"/>
      <c r="T171" s="162"/>
      <c r="AT171" s="157" t="s">
        <v>145</v>
      </c>
      <c r="AU171" s="157" t="s">
        <v>82</v>
      </c>
      <c r="AV171" s="14" t="s">
        <v>82</v>
      </c>
      <c r="AW171" s="14" t="s">
        <v>34</v>
      </c>
      <c r="AX171" s="14" t="s">
        <v>80</v>
      </c>
      <c r="AY171" s="157" t="s">
        <v>138</v>
      </c>
    </row>
    <row r="172" spans="1:65" s="2" customFormat="1" ht="37.9" customHeight="1">
      <c r="A172" s="31"/>
      <c r="B172" s="136"/>
      <c r="C172" s="137">
        <v>30</v>
      </c>
      <c r="D172" s="137" t="s">
        <v>141</v>
      </c>
      <c r="E172" s="138" t="s">
        <v>810</v>
      </c>
      <c r="F172" s="139" t="s">
        <v>811</v>
      </c>
      <c r="G172" s="140" t="s">
        <v>308</v>
      </c>
      <c r="H172" s="141">
        <f>SUM(I168:I171)/100</f>
        <v>0</v>
      </c>
      <c r="I172" s="142"/>
      <c r="J172" s="142">
        <f>ROUND(I172*H172,2)</f>
        <v>0</v>
      </c>
      <c r="K172" s="139" t="s">
        <v>148</v>
      </c>
      <c r="L172" s="32"/>
      <c r="M172" s="143" t="s">
        <v>3</v>
      </c>
      <c r="N172" s="144" t="s">
        <v>43</v>
      </c>
      <c r="O172" s="145">
        <v>0</v>
      </c>
      <c r="P172" s="145">
        <f>O172*H172</f>
        <v>0</v>
      </c>
      <c r="Q172" s="145">
        <v>0</v>
      </c>
      <c r="R172" s="145">
        <f>Q172*H172</f>
        <v>0</v>
      </c>
      <c r="S172" s="145">
        <v>0</v>
      </c>
      <c r="T172" s="146">
        <f>S172*H172</f>
        <v>0</v>
      </c>
      <c r="U172" s="31"/>
      <c r="V172" s="31"/>
      <c r="W172" s="31"/>
      <c r="X172" s="31"/>
      <c r="Y172" s="31"/>
      <c r="Z172" s="31"/>
      <c r="AA172" s="31"/>
      <c r="AB172" s="31"/>
      <c r="AC172" s="31"/>
      <c r="AD172" s="31"/>
      <c r="AE172" s="31"/>
      <c r="AR172" s="147" t="s">
        <v>200</v>
      </c>
      <c r="AT172" s="147" t="s">
        <v>141</v>
      </c>
      <c r="AU172" s="147" t="s">
        <v>82</v>
      </c>
      <c r="AY172" s="19" t="s">
        <v>138</v>
      </c>
      <c r="BE172" s="148">
        <f>IF(N172="základní",J172,0)</f>
        <v>0</v>
      </c>
      <c r="BF172" s="148">
        <f>IF(N172="snížená",J172,0)</f>
        <v>0</v>
      </c>
      <c r="BG172" s="148">
        <f>IF(N172="zákl. přenesená",J172,0)</f>
        <v>0</v>
      </c>
      <c r="BH172" s="148">
        <f>IF(N172="sníž. přenesená",J172,0)</f>
        <v>0</v>
      </c>
      <c r="BI172" s="148">
        <f>IF(N172="nulová",J172,0)</f>
        <v>0</v>
      </c>
      <c r="BJ172" s="19" t="s">
        <v>80</v>
      </c>
      <c r="BK172" s="148">
        <f>ROUND(I172*H172,2)</f>
        <v>0</v>
      </c>
      <c r="BL172" s="19" t="s">
        <v>200</v>
      </c>
      <c r="BM172" s="147" t="s">
        <v>812</v>
      </c>
    </row>
    <row r="173" spans="1:65" s="2" customFormat="1" ht="126.75">
      <c r="A173" s="31"/>
      <c r="B173" s="32"/>
      <c r="C173" s="31"/>
      <c r="D173" s="150" t="s">
        <v>149</v>
      </c>
      <c r="E173" s="31"/>
      <c r="F173" s="163" t="s">
        <v>418</v>
      </c>
      <c r="G173" s="31"/>
      <c r="H173" s="31"/>
      <c r="I173" s="31"/>
      <c r="J173" s="31"/>
      <c r="K173" s="31"/>
      <c r="L173" s="32"/>
      <c r="M173" s="164"/>
      <c r="N173" s="165"/>
      <c r="O173" s="52"/>
      <c r="P173" s="52"/>
      <c r="Q173" s="52"/>
      <c r="R173" s="52"/>
      <c r="S173" s="52"/>
      <c r="T173" s="53"/>
      <c r="U173" s="31"/>
      <c r="V173" s="31"/>
      <c r="W173" s="31"/>
      <c r="X173" s="31"/>
      <c r="Y173" s="31"/>
      <c r="Z173" s="31"/>
      <c r="AA173" s="31"/>
      <c r="AB173" s="31"/>
      <c r="AC173" s="31"/>
      <c r="AD173" s="31"/>
      <c r="AE173" s="31"/>
      <c r="AT173" s="19" t="s">
        <v>149</v>
      </c>
      <c r="AU173" s="19" t="s">
        <v>82</v>
      </c>
    </row>
    <row r="174" spans="1:65" s="2" customFormat="1" ht="49.15" customHeight="1">
      <c r="A174" s="31"/>
      <c r="B174" s="136"/>
      <c r="C174" s="137">
        <v>31</v>
      </c>
      <c r="D174" s="137" t="s">
        <v>141</v>
      </c>
      <c r="E174" s="138" t="s">
        <v>813</v>
      </c>
      <c r="F174" s="139" t="s">
        <v>814</v>
      </c>
      <c r="G174" s="140" t="s">
        <v>308</v>
      </c>
      <c r="H174" s="141">
        <f>H172</f>
        <v>0</v>
      </c>
      <c r="I174" s="142"/>
      <c r="J174" s="142">
        <f>ROUND(I174*H174,2)</f>
        <v>0</v>
      </c>
      <c r="K174" s="139" t="s">
        <v>148</v>
      </c>
      <c r="L174" s="32"/>
      <c r="M174" s="143" t="s">
        <v>3</v>
      </c>
      <c r="N174" s="144" t="s">
        <v>43</v>
      </c>
      <c r="O174" s="145">
        <v>0</v>
      </c>
      <c r="P174" s="145">
        <f>O174*H174</f>
        <v>0</v>
      </c>
      <c r="Q174" s="145">
        <v>0</v>
      </c>
      <c r="R174" s="145">
        <f>Q174*H174</f>
        <v>0</v>
      </c>
      <c r="S174" s="145">
        <v>0</v>
      </c>
      <c r="T174" s="146">
        <f>S174*H174</f>
        <v>0</v>
      </c>
      <c r="U174" s="31"/>
      <c r="V174" s="31"/>
      <c r="W174" s="31"/>
      <c r="X174" s="31"/>
      <c r="Y174" s="31"/>
      <c r="Z174" s="31"/>
      <c r="AA174" s="31"/>
      <c r="AB174" s="31"/>
      <c r="AC174" s="31"/>
      <c r="AD174" s="31"/>
      <c r="AE174" s="31"/>
      <c r="AR174" s="147" t="s">
        <v>200</v>
      </c>
      <c r="AT174" s="147" t="s">
        <v>141</v>
      </c>
      <c r="AU174" s="147" t="s">
        <v>82</v>
      </c>
      <c r="AY174" s="19" t="s">
        <v>138</v>
      </c>
      <c r="BE174" s="148">
        <f>IF(N174="základní",J174,0)</f>
        <v>0</v>
      </c>
      <c r="BF174" s="148">
        <f>IF(N174="snížená",J174,0)</f>
        <v>0</v>
      </c>
      <c r="BG174" s="148">
        <f>IF(N174="zákl. přenesená",J174,0)</f>
        <v>0</v>
      </c>
      <c r="BH174" s="148">
        <f>IF(N174="sníž. přenesená",J174,0)</f>
        <v>0</v>
      </c>
      <c r="BI174" s="148">
        <f>IF(N174="nulová",J174,0)</f>
        <v>0</v>
      </c>
      <c r="BJ174" s="19" t="s">
        <v>80</v>
      </c>
      <c r="BK174" s="148">
        <f>ROUND(I174*H174,2)</f>
        <v>0</v>
      </c>
      <c r="BL174" s="19" t="s">
        <v>200</v>
      </c>
      <c r="BM174" s="147" t="s">
        <v>815</v>
      </c>
    </row>
    <row r="175" spans="1:65" s="2" customFormat="1" ht="126.75">
      <c r="A175" s="31"/>
      <c r="B175" s="32"/>
      <c r="C175" s="31"/>
      <c r="D175" s="150" t="s">
        <v>149</v>
      </c>
      <c r="E175" s="31"/>
      <c r="F175" s="163" t="s">
        <v>418</v>
      </c>
      <c r="G175" s="31"/>
      <c r="H175" s="31"/>
      <c r="I175" s="31"/>
      <c r="J175" s="31"/>
      <c r="K175" s="31"/>
      <c r="L175" s="32"/>
      <c r="M175" s="164"/>
      <c r="N175" s="165"/>
      <c r="O175" s="52"/>
      <c r="P175" s="52"/>
      <c r="Q175" s="52"/>
      <c r="R175" s="52"/>
      <c r="S175" s="52"/>
      <c r="T175" s="53"/>
      <c r="U175" s="31"/>
      <c r="V175" s="31"/>
      <c r="W175" s="31"/>
      <c r="X175" s="31"/>
      <c r="Y175" s="31"/>
      <c r="Z175" s="31"/>
      <c r="AA175" s="31"/>
      <c r="AB175" s="31"/>
      <c r="AC175" s="31"/>
      <c r="AD175" s="31"/>
      <c r="AE175" s="31"/>
      <c r="AT175" s="19" t="s">
        <v>149</v>
      </c>
      <c r="AU175" s="19" t="s">
        <v>82</v>
      </c>
    </row>
    <row r="176" spans="1:65" s="12" customFormat="1" ht="22.9" customHeight="1">
      <c r="B176" s="124"/>
      <c r="D176" s="125" t="s">
        <v>71</v>
      </c>
      <c r="E176" s="134" t="s">
        <v>473</v>
      </c>
      <c r="F176" s="134" t="s">
        <v>474</v>
      </c>
      <c r="J176" s="135">
        <f>BK176</f>
        <v>0</v>
      </c>
      <c r="L176" s="124"/>
      <c r="M176" s="128"/>
      <c r="N176" s="129"/>
      <c r="O176" s="129"/>
      <c r="P176" s="130">
        <f>SUM(P177:P179)</f>
        <v>0.27300000000000002</v>
      </c>
      <c r="Q176" s="129"/>
      <c r="R176" s="130">
        <f>SUM(R177:R179)</f>
        <v>2.8000000000000003E-4</v>
      </c>
      <c r="S176" s="129"/>
      <c r="T176" s="131">
        <f>SUM(T177:T179)</f>
        <v>0</v>
      </c>
      <c r="AR176" s="125" t="s">
        <v>82</v>
      </c>
      <c r="AT176" s="132" t="s">
        <v>71</v>
      </c>
      <c r="AU176" s="132" t="s">
        <v>80</v>
      </c>
      <c r="AY176" s="125" t="s">
        <v>138</v>
      </c>
      <c r="BK176" s="133">
        <f>SUM(BK177:BK179)</f>
        <v>0</v>
      </c>
    </row>
    <row r="177" spans="1:65" s="2" customFormat="1" ht="37.9" customHeight="1">
      <c r="A177" s="31"/>
      <c r="B177" s="136"/>
      <c r="C177" s="137">
        <v>32</v>
      </c>
      <c r="D177" s="137" t="s">
        <v>141</v>
      </c>
      <c r="E177" s="138" t="s">
        <v>816</v>
      </c>
      <c r="F177" s="139" t="s">
        <v>817</v>
      </c>
      <c r="G177" s="140" t="s">
        <v>187</v>
      </c>
      <c r="H177" s="141">
        <f>H148</f>
        <v>7</v>
      </c>
      <c r="I177" s="142"/>
      <c r="J177" s="142">
        <f>ROUND(I177*H177,2)</f>
        <v>0</v>
      </c>
      <c r="K177" s="139" t="s">
        <v>148</v>
      </c>
      <c r="L177" s="32"/>
      <c r="M177" s="143" t="s">
        <v>3</v>
      </c>
      <c r="N177" s="144" t="s">
        <v>43</v>
      </c>
      <c r="O177" s="145">
        <v>1.0999999999999999E-2</v>
      </c>
      <c r="P177" s="145">
        <f>O177*H177</f>
        <v>7.6999999999999999E-2</v>
      </c>
      <c r="Q177" s="145">
        <v>2.0000000000000002E-5</v>
      </c>
      <c r="R177" s="145">
        <f>Q177*H177</f>
        <v>1.4000000000000001E-4</v>
      </c>
      <c r="S177" s="145">
        <v>0</v>
      </c>
      <c r="T177" s="146">
        <f>S177*H177</f>
        <v>0</v>
      </c>
      <c r="U177" s="31"/>
      <c r="V177" s="31"/>
      <c r="W177" s="31"/>
      <c r="X177" s="31"/>
      <c r="Y177" s="31"/>
      <c r="Z177" s="31"/>
      <c r="AA177" s="31"/>
      <c r="AB177" s="31"/>
      <c r="AC177" s="31"/>
      <c r="AD177" s="31"/>
      <c r="AE177" s="31"/>
      <c r="AR177" s="147" t="s">
        <v>200</v>
      </c>
      <c r="AT177" s="147" t="s">
        <v>141</v>
      </c>
      <c r="AU177" s="147" t="s">
        <v>82</v>
      </c>
      <c r="AY177" s="19" t="s">
        <v>138</v>
      </c>
      <c r="BE177" s="148">
        <f>IF(N177="základní",J177,0)</f>
        <v>0</v>
      </c>
      <c r="BF177" s="148">
        <f>IF(N177="snížená",J177,0)</f>
        <v>0</v>
      </c>
      <c r="BG177" s="148">
        <f>IF(N177="zákl. přenesená",J177,0)</f>
        <v>0</v>
      </c>
      <c r="BH177" s="148">
        <f>IF(N177="sníž. přenesená",J177,0)</f>
        <v>0</v>
      </c>
      <c r="BI177" s="148">
        <f>IF(N177="nulová",J177,0)</f>
        <v>0</v>
      </c>
      <c r="BJ177" s="19" t="s">
        <v>80</v>
      </c>
      <c r="BK177" s="148">
        <f>ROUND(I177*H177,2)</f>
        <v>0</v>
      </c>
      <c r="BL177" s="19" t="s">
        <v>200</v>
      </c>
      <c r="BM177" s="147" t="s">
        <v>818</v>
      </c>
    </row>
    <row r="178" spans="1:65" s="13" customFormat="1">
      <c r="B178" s="149"/>
      <c r="D178" s="150" t="s">
        <v>145</v>
      </c>
      <c r="E178" s="151" t="s">
        <v>3</v>
      </c>
      <c r="F178" s="152" t="s">
        <v>198</v>
      </c>
      <c r="H178" s="151" t="s">
        <v>3</v>
      </c>
      <c r="L178" s="149"/>
      <c r="M178" s="153"/>
      <c r="N178" s="154"/>
      <c r="O178" s="154"/>
      <c r="P178" s="154"/>
      <c r="Q178" s="154"/>
      <c r="R178" s="154"/>
      <c r="S178" s="154"/>
      <c r="T178" s="155"/>
      <c r="AT178" s="151" t="s">
        <v>145</v>
      </c>
      <c r="AU178" s="151" t="s">
        <v>82</v>
      </c>
      <c r="AV178" s="13" t="s">
        <v>80</v>
      </c>
      <c r="AW178" s="13" t="s">
        <v>34</v>
      </c>
      <c r="AX178" s="13" t="s">
        <v>72</v>
      </c>
      <c r="AY178" s="151" t="s">
        <v>138</v>
      </c>
    </row>
    <row r="179" spans="1:65" s="2" customFormat="1" ht="24.2" customHeight="1">
      <c r="A179" s="31"/>
      <c r="B179" s="136"/>
      <c r="C179" s="137">
        <v>33</v>
      </c>
      <c r="D179" s="137" t="s">
        <v>141</v>
      </c>
      <c r="E179" s="138" t="s">
        <v>819</v>
      </c>
      <c r="F179" s="139" t="s">
        <v>820</v>
      </c>
      <c r="G179" s="140" t="s">
        <v>187</v>
      </c>
      <c r="H179" s="141">
        <f>H177</f>
        <v>7</v>
      </c>
      <c r="I179" s="142"/>
      <c r="J179" s="142">
        <f>ROUND(I179*H179,2)</f>
        <v>0</v>
      </c>
      <c r="K179" s="139" t="s">
        <v>148</v>
      </c>
      <c r="L179" s="32"/>
      <c r="M179" s="143" t="s">
        <v>3</v>
      </c>
      <c r="N179" s="144" t="s">
        <v>43</v>
      </c>
      <c r="O179" s="145">
        <v>2.8000000000000001E-2</v>
      </c>
      <c r="P179" s="145">
        <f>O179*H179</f>
        <v>0.19600000000000001</v>
      </c>
      <c r="Q179" s="145">
        <v>2.0000000000000002E-5</v>
      </c>
      <c r="R179" s="145">
        <f>Q179*H179</f>
        <v>1.4000000000000001E-4</v>
      </c>
      <c r="S179" s="145">
        <v>0</v>
      </c>
      <c r="T179" s="146">
        <f>S179*H179</f>
        <v>0</v>
      </c>
      <c r="U179" s="31"/>
      <c r="V179" s="31"/>
      <c r="W179" s="31"/>
      <c r="X179" s="31"/>
      <c r="Y179" s="31"/>
      <c r="Z179" s="31"/>
      <c r="AA179" s="31"/>
      <c r="AB179" s="31"/>
      <c r="AC179" s="31"/>
      <c r="AD179" s="31"/>
      <c r="AE179" s="31"/>
      <c r="AR179" s="147" t="s">
        <v>200</v>
      </c>
      <c r="AT179" s="147" t="s">
        <v>141</v>
      </c>
      <c r="AU179" s="147" t="s">
        <v>82</v>
      </c>
      <c r="AY179" s="19" t="s">
        <v>138</v>
      </c>
      <c r="BE179" s="148">
        <f>IF(N179="základní",J179,0)</f>
        <v>0</v>
      </c>
      <c r="BF179" s="148">
        <f>IF(N179="snížená",J179,0)</f>
        <v>0</v>
      </c>
      <c r="BG179" s="148">
        <f>IF(N179="zákl. přenesená",J179,0)</f>
        <v>0</v>
      </c>
      <c r="BH179" s="148">
        <f>IF(N179="sníž. přenesená",J179,0)</f>
        <v>0</v>
      </c>
      <c r="BI179" s="148">
        <f>IF(N179="nulová",J179,0)</f>
        <v>0</v>
      </c>
      <c r="BJ179" s="19" t="s">
        <v>80</v>
      </c>
      <c r="BK179" s="148">
        <f>ROUND(I179*H179,2)</f>
        <v>0</v>
      </c>
      <c r="BL179" s="19" t="s">
        <v>200</v>
      </c>
      <c r="BM179" s="147" t="s">
        <v>821</v>
      </c>
    </row>
    <row r="180" spans="1:65" s="12" customFormat="1" ht="25.9" customHeight="1">
      <c r="B180" s="124"/>
      <c r="D180" s="125" t="s">
        <v>71</v>
      </c>
      <c r="E180" s="126" t="s">
        <v>742</v>
      </c>
      <c r="F180" s="126" t="s">
        <v>743</v>
      </c>
      <c r="J180" s="127">
        <f>SUM(J181:J187)</f>
        <v>0</v>
      </c>
      <c r="L180" s="124"/>
      <c r="M180" s="128"/>
      <c r="N180" s="129"/>
      <c r="O180" s="129"/>
      <c r="P180" s="130">
        <f>SUM(P181:P186)</f>
        <v>28</v>
      </c>
      <c r="Q180" s="129"/>
      <c r="R180" s="130">
        <f>SUM(R181:R186)</f>
        <v>0</v>
      </c>
      <c r="S180" s="129"/>
      <c r="T180" s="131">
        <f>SUM(T181:T186)</f>
        <v>0</v>
      </c>
      <c r="AR180" s="125" t="s">
        <v>144</v>
      </c>
      <c r="AT180" s="132" t="s">
        <v>71</v>
      </c>
      <c r="AU180" s="132" t="s">
        <v>72</v>
      </c>
      <c r="AY180" s="125" t="s">
        <v>138</v>
      </c>
      <c r="BK180" s="133">
        <f>SUM(BK181:BK186)</f>
        <v>0</v>
      </c>
    </row>
    <row r="181" spans="1:65" s="2" customFormat="1" ht="24.2" customHeight="1">
      <c r="A181" s="31"/>
      <c r="B181" s="136"/>
      <c r="C181" s="137">
        <v>34</v>
      </c>
      <c r="D181" s="137" t="s">
        <v>141</v>
      </c>
      <c r="E181" s="138" t="s">
        <v>744</v>
      </c>
      <c r="F181" s="139" t="s">
        <v>745</v>
      </c>
      <c r="G181" s="140" t="s">
        <v>746</v>
      </c>
      <c r="H181" s="141">
        <v>8</v>
      </c>
      <c r="I181" s="142"/>
      <c r="J181" s="142">
        <f>ROUND(I181*H181,2)</f>
        <v>0</v>
      </c>
      <c r="K181" s="139" t="s">
        <v>148</v>
      </c>
      <c r="L181" s="32"/>
      <c r="M181" s="143" t="s">
        <v>3</v>
      </c>
      <c r="N181" s="144" t="s">
        <v>43</v>
      </c>
      <c r="O181" s="145">
        <v>1</v>
      </c>
      <c r="P181" s="145">
        <f>O181*H181</f>
        <v>8</v>
      </c>
      <c r="Q181" s="145">
        <v>0</v>
      </c>
      <c r="R181" s="145">
        <f>Q181*H181</f>
        <v>0</v>
      </c>
      <c r="S181" s="145">
        <v>0</v>
      </c>
      <c r="T181" s="146">
        <f>S181*H181</f>
        <v>0</v>
      </c>
      <c r="U181" s="31"/>
      <c r="V181" s="31"/>
      <c r="W181" s="31"/>
      <c r="X181" s="31"/>
      <c r="Y181" s="31"/>
      <c r="Z181" s="31"/>
      <c r="AA181" s="31"/>
      <c r="AB181" s="31"/>
      <c r="AC181" s="31"/>
      <c r="AD181" s="31"/>
      <c r="AE181" s="31"/>
      <c r="AR181" s="147" t="s">
        <v>747</v>
      </c>
      <c r="AT181" s="147" t="s">
        <v>141</v>
      </c>
      <c r="AU181" s="147" t="s">
        <v>80</v>
      </c>
      <c r="AY181" s="19" t="s">
        <v>138</v>
      </c>
      <c r="BE181" s="148">
        <f>IF(N181="základní",J181,0)</f>
        <v>0</v>
      </c>
      <c r="BF181" s="148">
        <f>IF(N181="snížená",J181,0)</f>
        <v>0</v>
      </c>
      <c r="BG181" s="148">
        <f>IF(N181="zákl. přenesená",J181,0)</f>
        <v>0</v>
      </c>
      <c r="BH181" s="148">
        <f>IF(N181="sníž. přenesená",J181,0)</f>
        <v>0</v>
      </c>
      <c r="BI181" s="148">
        <f>IF(N181="nulová",J181,0)</f>
        <v>0</v>
      </c>
      <c r="BJ181" s="19" t="s">
        <v>80</v>
      </c>
      <c r="BK181" s="148">
        <f>ROUND(I181*H181,2)</f>
        <v>0</v>
      </c>
      <c r="BL181" s="19" t="s">
        <v>747</v>
      </c>
      <c r="BM181" s="147" t="s">
        <v>822</v>
      </c>
    </row>
    <row r="182" spans="1:65" s="2" customFormat="1" ht="19.5">
      <c r="A182" s="31"/>
      <c r="B182" s="32"/>
      <c r="C182" s="31"/>
      <c r="D182" s="150" t="s">
        <v>242</v>
      </c>
      <c r="E182" s="31"/>
      <c r="F182" s="163" t="s">
        <v>749</v>
      </c>
      <c r="G182" s="31"/>
      <c r="H182" s="31"/>
      <c r="I182" s="31"/>
      <c r="J182" s="31"/>
      <c r="K182" s="31"/>
      <c r="L182" s="32"/>
      <c r="M182" s="164"/>
      <c r="N182" s="165"/>
      <c r="O182" s="52"/>
      <c r="P182" s="52"/>
      <c r="Q182" s="52"/>
      <c r="R182" s="52"/>
      <c r="S182" s="52"/>
      <c r="T182" s="53"/>
      <c r="U182" s="31"/>
      <c r="V182" s="31"/>
      <c r="W182" s="31"/>
      <c r="X182" s="31"/>
      <c r="Y182" s="31"/>
      <c r="Z182" s="31"/>
      <c r="AA182" s="31"/>
      <c r="AB182" s="31"/>
      <c r="AC182" s="31"/>
      <c r="AD182" s="31"/>
      <c r="AE182" s="31"/>
      <c r="AT182" s="19" t="s">
        <v>242</v>
      </c>
      <c r="AU182" s="19" t="s">
        <v>80</v>
      </c>
    </row>
    <row r="183" spans="1:65" s="2" customFormat="1" ht="24.2" customHeight="1">
      <c r="A183" s="31"/>
      <c r="B183" s="136"/>
      <c r="C183" s="137">
        <v>35</v>
      </c>
      <c r="D183" s="137" t="s">
        <v>141</v>
      </c>
      <c r="E183" s="138" t="s">
        <v>823</v>
      </c>
      <c r="F183" s="139" t="s">
        <v>824</v>
      </c>
      <c r="G183" s="140" t="s">
        <v>746</v>
      </c>
      <c r="H183" s="141">
        <v>4</v>
      </c>
      <c r="I183" s="142"/>
      <c r="J183" s="142">
        <f>ROUND(I183*H183,2)</f>
        <v>0</v>
      </c>
      <c r="K183" s="139" t="s">
        <v>148</v>
      </c>
      <c r="L183" s="32"/>
      <c r="M183" s="143" t="s">
        <v>3</v>
      </c>
      <c r="N183" s="144" t="s">
        <v>43</v>
      </c>
      <c r="O183" s="145">
        <v>1</v>
      </c>
      <c r="P183" s="145">
        <f>O183*H183</f>
        <v>4</v>
      </c>
      <c r="Q183" s="145">
        <v>0</v>
      </c>
      <c r="R183" s="145">
        <f>Q183*H183</f>
        <v>0</v>
      </c>
      <c r="S183" s="145">
        <v>0</v>
      </c>
      <c r="T183" s="146">
        <f>S183*H183</f>
        <v>0</v>
      </c>
      <c r="U183" s="31"/>
      <c r="V183" s="31"/>
      <c r="W183" s="31"/>
      <c r="X183" s="31"/>
      <c r="Y183" s="31"/>
      <c r="Z183" s="31"/>
      <c r="AA183" s="31"/>
      <c r="AB183" s="31"/>
      <c r="AC183" s="31"/>
      <c r="AD183" s="31"/>
      <c r="AE183" s="31"/>
      <c r="AR183" s="147" t="s">
        <v>747</v>
      </c>
      <c r="AT183" s="147" t="s">
        <v>141</v>
      </c>
      <c r="AU183" s="147" t="s">
        <v>80</v>
      </c>
      <c r="AY183" s="19" t="s">
        <v>138</v>
      </c>
      <c r="BE183" s="148">
        <f>IF(N183="základní",J183,0)</f>
        <v>0</v>
      </c>
      <c r="BF183" s="148">
        <f>IF(N183="snížená",J183,0)</f>
        <v>0</v>
      </c>
      <c r="BG183" s="148">
        <f>IF(N183="zákl. přenesená",J183,0)</f>
        <v>0</v>
      </c>
      <c r="BH183" s="148">
        <f>IF(N183="sníž. přenesená",J183,0)</f>
        <v>0</v>
      </c>
      <c r="BI183" s="148">
        <f>IF(N183="nulová",J183,0)</f>
        <v>0</v>
      </c>
      <c r="BJ183" s="19" t="s">
        <v>80</v>
      </c>
      <c r="BK183" s="148">
        <f>ROUND(I183*H183,2)</f>
        <v>0</v>
      </c>
      <c r="BL183" s="19" t="s">
        <v>747</v>
      </c>
      <c r="BM183" s="147" t="s">
        <v>825</v>
      </c>
    </row>
    <row r="184" spans="1:65" s="2" customFormat="1" ht="29.25">
      <c r="A184" s="31"/>
      <c r="B184" s="32"/>
      <c r="C184" s="31"/>
      <c r="D184" s="150" t="s">
        <v>242</v>
      </c>
      <c r="E184" s="31"/>
      <c r="F184" s="163" t="s">
        <v>826</v>
      </c>
      <c r="G184" s="31"/>
      <c r="H184" s="31"/>
      <c r="I184" s="31"/>
      <c r="J184" s="31"/>
      <c r="K184" s="31"/>
      <c r="L184" s="32"/>
      <c r="M184" s="164"/>
      <c r="N184" s="165"/>
      <c r="O184" s="52"/>
      <c r="P184" s="52"/>
      <c r="Q184" s="52"/>
      <c r="R184" s="52"/>
      <c r="S184" s="52"/>
      <c r="T184" s="53"/>
      <c r="U184" s="31"/>
      <c r="V184" s="31"/>
      <c r="W184" s="31"/>
      <c r="X184" s="31"/>
      <c r="Y184" s="31"/>
      <c r="Z184" s="31"/>
      <c r="AA184" s="31"/>
      <c r="AB184" s="31"/>
      <c r="AC184" s="31"/>
      <c r="AD184" s="31"/>
      <c r="AE184" s="31"/>
      <c r="AT184" s="19" t="s">
        <v>242</v>
      </c>
      <c r="AU184" s="19" t="s">
        <v>80</v>
      </c>
    </row>
    <row r="185" spans="1:65" s="2" customFormat="1" ht="24.2" customHeight="1">
      <c r="A185" s="31"/>
      <c r="B185" s="136"/>
      <c r="C185" s="137">
        <v>36</v>
      </c>
      <c r="D185" s="137" t="s">
        <v>141</v>
      </c>
      <c r="E185" s="138" t="s">
        <v>827</v>
      </c>
      <c r="F185" s="139" t="s">
        <v>828</v>
      </c>
      <c r="G185" s="140" t="s">
        <v>746</v>
      </c>
      <c r="H185" s="141">
        <v>16</v>
      </c>
      <c r="I185" s="142"/>
      <c r="J185" s="142">
        <f>ROUND(I185*H185,2)</f>
        <v>0</v>
      </c>
      <c r="K185" s="139" t="s">
        <v>148</v>
      </c>
      <c r="L185" s="32"/>
      <c r="M185" s="143" t="s">
        <v>3</v>
      </c>
      <c r="N185" s="144" t="s">
        <v>43</v>
      </c>
      <c r="O185" s="145">
        <v>1</v>
      </c>
      <c r="P185" s="145">
        <f>O185*H185</f>
        <v>16</v>
      </c>
      <c r="Q185" s="145">
        <v>0</v>
      </c>
      <c r="R185" s="145">
        <f>Q185*H185</f>
        <v>0</v>
      </c>
      <c r="S185" s="145">
        <v>0</v>
      </c>
      <c r="T185" s="146">
        <f>S185*H185</f>
        <v>0</v>
      </c>
      <c r="U185" s="31"/>
      <c r="V185" s="31"/>
      <c r="W185" s="31"/>
      <c r="X185" s="31"/>
      <c r="Y185" s="31"/>
      <c r="Z185" s="31"/>
      <c r="AA185" s="31"/>
      <c r="AB185" s="31"/>
      <c r="AC185" s="31"/>
      <c r="AD185" s="31"/>
      <c r="AE185" s="31"/>
      <c r="AR185" s="147" t="s">
        <v>747</v>
      </c>
      <c r="AT185" s="147" t="s">
        <v>141</v>
      </c>
      <c r="AU185" s="147" t="s">
        <v>80</v>
      </c>
      <c r="AY185" s="19" t="s">
        <v>138</v>
      </c>
      <c r="BE185" s="148">
        <f>IF(N185="základní",J185,0)</f>
        <v>0</v>
      </c>
      <c r="BF185" s="148">
        <f>IF(N185="snížená",J185,0)</f>
        <v>0</v>
      </c>
      <c r="BG185" s="148">
        <f>IF(N185="zákl. přenesená",J185,0)</f>
        <v>0</v>
      </c>
      <c r="BH185" s="148">
        <f>IF(N185="sníž. přenesená",J185,0)</f>
        <v>0</v>
      </c>
      <c r="BI185" s="148">
        <f>IF(N185="nulová",J185,0)</f>
        <v>0</v>
      </c>
      <c r="BJ185" s="19" t="s">
        <v>80</v>
      </c>
      <c r="BK185" s="148">
        <f>ROUND(I185*H185,2)</f>
        <v>0</v>
      </c>
      <c r="BL185" s="19" t="s">
        <v>747</v>
      </c>
      <c r="BM185" s="147" t="s">
        <v>829</v>
      </c>
    </row>
    <row r="186" spans="1:65" s="2" customFormat="1" ht="19.5">
      <c r="A186" s="31"/>
      <c r="B186" s="32"/>
      <c r="C186" s="31"/>
      <c r="D186" s="150" t="s">
        <v>242</v>
      </c>
      <c r="E186" s="31"/>
      <c r="F186" s="163" t="s">
        <v>830</v>
      </c>
      <c r="G186" s="31"/>
      <c r="H186" s="31"/>
      <c r="I186" s="31"/>
      <c r="J186" s="31"/>
      <c r="K186" s="31"/>
      <c r="L186" s="32"/>
      <c r="M186" s="189"/>
      <c r="N186" s="190"/>
      <c r="O186" s="191"/>
      <c r="P186" s="191"/>
      <c r="Q186" s="191"/>
      <c r="R186" s="191"/>
      <c r="S186" s="191"/>
      <c r="T186" s="192"/>
      <c r="U186" s="31"/>
      <c r="V186" s="31"/>
      <c r="W186" s="31"/>
      <c r="X186" s="31"/>
      <c r="Y186" s="31"/>
      <c r="Z186" s="31"/>
      <c r="AA186" s="31"/>
      <c r="AB186" s="31"/>
      <c r="AC186" s="31"/>
      <c r="AD186" s="31"/>
      <c r="AE186" s="31"/>
      <c r="AT186" s="19" t="s">
        <v>242</v>
      </c>
      <c r="AU186" s="19" t="s">
        <v>80</v>
      </c>
    </row>
    <row r="187" spans="1:65" s="2" customFormat="1" ht="24.2" customHeight="1">
      <c r="A187" s="311"/>
      <c r="B187" s="136"/>
      <c r="C187" s="137">
        <v>37</v>
      </c>
      <c r="D187" s="137" t="s">
        <v>141</v>
      </c>
      <c r="E187" s="138" t="s">
        <v>1562</v>
      </c>
      <c r="F187" s="139" t="s">
        <v>1563</v>
      </c>
      <c r="G187" s="140" t="s">
        <v>147</v>
      </c>
      <c r="H187" s="141">
        <v>1</v>
      </c>
      <c r="I187" s="142"/>
      <c r="J187" s="142">
        <f>ROUND(I187*H187,2)</f>
        <v>0</v>
      </c>
      <c r="K187" s="139" t="s">
        <v>148</v>
      </c>
      <c r="L187" s="32"/>
      <c r="M187" s="143" t="s">
        <v>3</v>
      </c>
      <c r="N187" s="144" t="s">
        <v>43</v>
      </c>
      <c r="O187" s="145">
        <v>1</v>
      </c>
      <c r="P187" s="145">
        <f>O187*H187</f>
        <v>1</v>
      </c>
      <c r="Q187" s="145">
        <v>0</v>
      </c>
      <c r="R187" s="145">
        <f>Q187*H187</f>
        <v>0</v>
      </c>
      <c r="S187" s="145">
        <v>0</v>
      </c>
      <c r="T187" s="146">
        <f>S187*H187</f>
        <v>0</v>
      </c>
      <c r="U187" s="311"/>
      <c r="V187" s="311"/>
      <c r="W187" s="311"/>
      <c r="X187" s="311"/>
      <c r="Y187" s="311"/>
      <c r="Z187" s="311"/>
      <c r="AA187" s="311"/>
      <c r="AB187" s="311"/>
      <c r="AC187" s="311"/>
      <c r="AD187" s="311"/>
      <c r="AE187" s="311"/>
      <c r="AR187" s="147" t="s">
        <v>747</v>
      </c>
      <c r="AT187" s="147" t="s">
        <v>141</v>
      </c>
      <c r="AU187" s="147" t="s">
        <v>80</v>
      </c>
      <c r="AY187" s="19" t="s">
        <v>138</v>
      </c>
      <c r="BE187" s="148">
        <f>IF(N187="základní",J187,0)</f>
        <v>0</v>
      </c>
      <c r="BF187" s="148">
        <f>IF(N187="snížená",J187,0)</f>
        <v>0</v>
      </c>
      <c r="BG187" s="148">
        <f>IF(N187="zákl. přenesená",J187,0)</f>
        <v>0</v>
      </c>
      <c r="BH187" s="148">
        <f>IF(N187="sníž. přenesená",J187,0)</f>
        <v>0</v>
      </c>
      <c r="BI187" s="148">
        <f>IF(N187="nulová",J187,0)</f>
        <v>0</v>
      </c>
      <c r="BJ187" s="19" t="s">
        <v>80</v>
      </c>
      <c r="BK187" s="148">
        <f>ROUND(I187*H187,2)</f>
        <v>0</v>
      </c>
      <c r="BL187" s="19" t="s">
        <v>747</v>
      </c>
      <c r="BM187" s="147" t="s">
        <v>829</v>
      </c>
    </row>
    <row r="188" spans="1:65" s="2" customFormat="1" ht="19.5">
      <c r="A188" s="311"/>
      <c r="B188" s="32"/>
      <c r="C188" s="311"/>
      <c r="D188" s="150" t="s">
        <v>242</v>
      </c>
      <c r="E188" s="311"/>
      <c r="F188" s="163" t="s">
        <v>1564</v>
      </c>
      <c r="G188" s="311"/>
      <c r="H188" s="311"/>
      <c r="I188" s="311"/>
      <c r="J188" s="311"/>
      <c r="K188" s="311"/>
      <c r="L188" s="32"/>
      <c r="M188" s="189"/>
      <c r="N188" s="190"/>
      <c r="O188" s="191"/>
      <c r="P188" s="191"/>
      <c r="Q188" s="191"/>
      <c r="R188" s="191"/>
      <c r="S188" s="191"/>
      <c r="T188" s="192"/>
      <c r="U188" s="311"/>
      <c r="V188" s="311"/>
      <c r="W188" s="311"/>
      <c r="X188" s="311"/>
      <c r="Y188" s="311"/>
      <c r="Z188" s="311"/>
      <c r="AA188" s="311"/>
      <c r="AB188" s="311"/>
      <c r="AC188" s="311"/>
      <c r="AD188" s="311"/>
      <c r="AE188" s="311"/>
      <c r="AT188" s="19" t="s">
        <v>242</v>
      </c>
      <c r="AU188" s="19" t="s">
        <v>80</v>
      </c>
    </row>
    <row r="189" spans="1:65" s="2" customFormat="1" ht="6.95" customHeight="1">
      <c r="A189" s="31"/>
      <c r="B189" s="41"/>
      <c r="C189" s="42"/>
      <c r="D189" s="42"/>
      <c r="E189" s="42"/>
      <c r="F189" s="42"/>
      <c r="G189" s="42"/>
      <c r="H189" s="42"/>
      <c r="I189" s="42"/>
      <c r="J189" s="42"/>
      <c r="K189" s="42"/>
      <c r="L189" s="32"/>
      <c r="M189" s="31"/>
      <c r="O189" s="31"/>
      <c r="P189" s="31"/>
      <c r="Q189" s="31"/>
      <c r="R189" s="31"/>
      <c r="S189" s="31"/>
      <c r="T189" s="31"/>
      <c r="U189" s="31"/>
      <c r="V189" s="31"/>
      <c r="W189" s="31"/>
      <c r="X189" s="31"/>
      <c r="Y189" s="31"/>
      <c r="Z189" s="31"/>
      <c r="AA189" s="31"/>
      <c r="AB189" s="31"/>
      <c r="AC189" s="31"/>
      <c r="AD189" s="31"/>
      <c r="AE189" s="31"/>
    </row>
  </sheetData>
  <autoFilter ref="C91:K186" xr:uid="{00000000-0009-0000-0000-000003000000}"/>
  <mergeCells count="9">
    <mergeCell ref="E50:H50"/>
    <mergeCell ref="E82:H82"/>
    <mergeCell ref="E84:H8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rowBreaks count="2" manualBreakCount="2">
    <brk id="116" min="2" max="10" man="1"/>
    <brk id="152" min="2"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254"/>
  <sheetViews>
    <sheetView showGridLines="0" view="pageBreakPreview" topLeftCell="A82" zoomScale="110" zoomScaleSheetLayoutView="110" workbookViewId="0">
      <selection activeCell="I92" sqref="I92:I25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52" t="s">
        <v>6</v>
      </c>
      <c r="M2" s="346"/>
      <c r="N2" s="346"/>
      <c r="O2" s="346"/>
      <c r="P2" s="346"/>
      <c r="Q2" s="346"/>
      <c r="R2" s="346"/>
      <c r="S2" s="346"/>
      <c r="T2" s="346"/>
      <c r="U2" s="346"/>
      <c r="V2" s="346"/>
      <c r="AT2" s="19" t="s">
        <v>91</v>
      </c>
    </row>
    <row r="3" spans="1:46" s="1" customFormat="1" ht="6.95" customHeight="1">
      <c r="B3" s="20"/>
      <c r="C3" s="21"/>
      <c r="D3" s="21"/>
      <c r="E3" s="21"/>
      <c r="F3" s="21"/>
      <c r="G3" s="21"/>
      <c r="H3" s="21"/>
      <c r="I3" s="21"/>
      <c r="J3" s="21"/>
      <c r="K3" s="21"/>
      <c r="L3" s="22"/>
      <c r="AT3" s="19" t="s">
        <v>82</v>
      </c>
    </row>
    <row r="4" spans="1:46" s="1" customFormat="1" ht="24.95" customHeight="1">
      <c r="B4" s="22"/>
      <c r="D4" s="23" t="s">
        <v>101</v>
      </c>
      <c r="L4" s="22"/>
      <c r="M4" s="88" t="s">
        <v>11</v>
      </c>
      <c r="AT4" s="19" t="s">
        <v>4</v>
      </c>
    </row>
    <row r="5" spans="1:46" s="1" customFormat="1" ht="6.95" customHeight="1">
      <c r="B5" s="22"/>
      <c r="L5" s="22"/>
    </row>
    <row r="6" spans="1:46" s="1" customFormat="1" ht="12" customHeight="1">
      <c r="B6" s="22"/>
      <c r="D6" s="28" t="s">
        <v>14</v>
      </c>
      <c r="L6" s="22"/>
    </row>
    <row r="7" spans="1:46" s="1" customFormat="1" ht="23.25" customHeight="1">
      <c r="B7" s="22"/>
      <c r="E7" s="358" t="str">
        <f>'Rekapitulace stavby'!K6</f>
        <v>Rekonstrukce objektu vrátnice a areálu Nemocnice Nymburk s.r.o. , objekt na č.parc. 323, k.ú. Nymburk</v>
      </c>
      <c r="F7" s="359"/>
      <c r="G7" s="359"/>
      <c r="H7" s="359"/>
      <c r="L7" s="22"/>
    </row>
    <row r="8" spans="1:46" s="2" customFormat="1" ht="12" customHeight="1">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4" t="s">
        <v>831</v>
      </c>
      <c r="F9" s="357"/>
      <c r="G9" s="357"/>
      <c r="H9" s="357"/>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45" t="str">
        <f>'Rekapitulace stavby'!E14</f>
        <v xml:space="preserve"> </v>
      </c>
      <c r="F18" s="345"/>
      <c r="G18" s="345"/>
      <c r="H18" s="345"/>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48" t="s">
        <v>37</v>
      </c>
      <c r="F27" s="348"/>
      <c r="G27" s="348"/>
      <c r="H27" s="348"/>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38</v>
      </c>
      <c r="E30" s="31"/>
      <c r="F30" s="31"/>
      <c r="G30" s="31"/>
      <c r="H30" s="31"/>
      <c r="I30" s="31"/>
      <c r="J30" s="65">
        <f>ROUND(J89,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42</v>
      </c>
      <c r="E33" s="28" t="s">
        <v>43</v>
      </c>
      <c r="F33" s="95">
        <f>ROUND((SUM(BE89:BE253)),  2)</f>
        <v>0</v>
      </c>
      <c r="G33" s="31"/>
      <c r="H33" s="31"/>
      <c r="I33" s="96">
        <v>0.21</v>
      </c>
      <c r="J33" s="95">
        <f>ROUND(((SUM(BE89:BE253))*I33),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44</v>
      </c>
      <c r="F34" s="95">
        <f>ROUND((SUM(BF89:BF253)),  2)</f>
        <v>0</v>
      </c>
      <c r="G34" s="31"/>
      <c r="H34" s="31"/>
      <c r="I34" s="96">
        <v>0.15</v>
      </c>
      <c r="J34" s="95">
        <f>ROUND(((SUM(BF89:BF253))*I34),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45</v>
      </c>
      <c r="F35" s="95">
        <f>ROUND((SUM(BG89:BG253)),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46</v>
      </c>
      <c r="F36" s="95">
        <f>ROUND((SUM(BH89:BH253)),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47</v>
      </c>
      <c r="F37" s="95">
        <f>ROUND((SUM(BI89:BI253)),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58" t="str">
        <f>E7</f>
        <v>Rekonstrukce objektu vrátnice a areálu Nemocnice Nymburk s.r.o. , objekt na č.parc. 323, k.ú. Nymburk</v>
      </c>
      <c r="F48" s="359"/>
      <c r="G48" s="359"/>
      <c r="H48" s="359"/>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4" t="str">
        <f>E9</f>
        <v>04 - Elektroinstalace</v>
      </c>
      <c r="F50" s="357"/>
      <c r="G50" s="357"/>
      <c r="H50" s="357"/>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28</v>
      </c>
      <c r="D55" s="31"/>
      <c r="E55" s="31"/>
      <c r="F55" s="26" t="str">
        <f>IF(E18="","",E18)</f>
        <v xml:space="preserve"> </v>
      </c>
      <c r="G55" s="31"/>
      <c r="H55" s="31"/>
      <c r="I55" s="28" t="s">
        <v>35</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70</v>
      </c>
      <c r="D59" s="31"/>
      <c r="E59" s="31"/>
      <c r="F59" s="31"/>
      <c r="G59" s="31"/>
      <c r="H59" s="31"/>
      <c r="I59" s="31"/>
      <c r="J59" s="65">
        <f>J89</f>
        <v>0</v>
      </c>
      <c r="K59" s="31"/>
      <c r="L59" s="89"/>
      <c r="S59" s="31"/>
      <c r="T59" s="31"/>
      <c r="U59" s="31"/>
      <c r="V59" s="31"/>
      <c r="W59" s="31"/>
      <c r="X59" s="31"/>
      <c r="Y59" s="31"/>
      <c r="Z59" s="31"/>
      <c r="AA59" s="31"/>
      <c r="AB59" s="31"/>
      <c r="AC59" s="31"/>
      <c r="AD59" s="31"/>
      <c r="AE59" s="31"/>
      <c r="AU59" s="19" t="s">
        <v>107</v>
      </c>
    </row>
    <row r="60" spans="1:47" s="9" customFormat="1" ht="24.95" customHeight="1">
      <c r="B60" s="106"/>
      <c r="D60" s="107" t="s">
        <v>108</v>
      </c>
      <c r="E60" s="108"/>
      <c r="F60" s="108"/>
      <c r="G60" s="108"/>
      <c r="H60" s="108"/>
      <c r="I60" s="108"/>
      <c r="J60" s="109">
        <f>J90</f>
        <v>0</v>
      </c>
      <c r="L60" s="106"/>
    </row>
    <row r="61" spans="1:47" s="10" customFormat="1" ht="19.899999999999999" customHeight="1">
      <c r="B61" s="110"/>
      <c r="D61" s="111" t="s">
        <v>109</v>
      </c>
      <c r="E61" s="112"/>
      <c r="F61" s="112"/>
      <c r="G61" s="112"/>
      <c r="H61" s="112"/>
      <c r="I61" s="112"/>
      <c r="J61" s="113">
        <f>J91</f>
        <v>0</v>
      </c>
      <c r="L61" s="110"/>
    </row>
    <row r="62" spans="1:47" s="10" customFormat="1" ht="19.899999999999999" customHeight="1">
      <c r="B62" s="110"/>
      <c r="D62" s="111" t="s">
        <v>110</v>
      </c>
      <c r="E62" s="112"/>
      <c r="F62" s="112"/>
      <c r="G62" s="112"/>
      <c r="H62" s="112"/>
      <c r="I62" s="112"/>
      <c r="J62" s="113">
        <f>J95</f>
        <v>0</v>
      </c>
      <c r="L62" s="110"/>
    </row>
    <row r="63" spans="1:47" s="10" customFormat="1" ht="19.899999999999999" customHeight="1">
      <c r="B63" s="110"/>
      <c r="D63" s="111" t="s">
        <v>111</v>
      </c>
      <c r="E63" s="112"/>
      <c r="F63" s="112"/>
      <c r="G63" s="112"/>
      <c r="H63" s="112"/>
      <c r="I63" s="112"/>
      <c r="J63" s="113">
        <f>J100</f>
        <v>0</v>
      </c>
      <c r="L63" s="110"/>
    </row>
    <row r="64" spans="1:47" s="10" customFormat="1" ht="19.899999999999999" customHeight="1">
      <c r="B64" s="110"/>
      <c r="D64" s="111" t="s">
        <v>112</v>
      </c>
      <c r="E64" s="112"/>
      <c r="F64" s="112"/>
      <c r="G64" s="112"/>
      <c r="H64" s="112"/>
      <c r="I64" s="112"/>
      <c r="J64" s="113">
        <f>J107</f>
        <v>0</v>
      </c>
      <c r="L64" s="110"/>
    </row>
    <row r="65" spans="1:31" s="10" customFormat="1" ht="19.899999999999999" customHeight="1">
      <c r="B65" s="110"/>
      <c r="D65" s="111" t="s">
        <v>113</v>
      </c>
      <c r="E65" s="112"/>
      <c r="F65" s="112"/>
      <c r="G65" s="112"/>
      <c r="H65" s="112"/>
      <c r="I65" s="112"/>
      <c r="J65" s="113">
        <f>J121</f>
        <v>0</v>
      </c>
      <c r="L65" s="110"/>
    </row>
    <row r="66" spans="1:31" s="9" customFormat="1" ht="24.95" customHeight="1">
      <c r="B66" s="106"/>
      <c r="D66" s="107" t="s">
        <v>114</v>
      </c>
      <c r="E66" s="108"/>
      <c r="F66" s="108"/>
      <c r="G66" s="108"/>
      <c r="H66" s="108"/>
      <c r="I66" s="108"/>
      <c r="J66" s="109">
        <f>J124</f>
        <v>0</v>
      </c>
      <c r="L66" s="106"/>
    </row>
    <row r="67" spans="1:31" s="10" customFormat="1" ht="19.899999999999999" customHeight="1">
      <c r="B67" s="110"/>
      <c r="D67" s="111" t="s">
        <v>832</v>
      </c>
      <c r="E67" s="112"/>
      <c r="F67" s="112"/>
      <c r="G67" s="112"/>
      <c r="H67" s="112"/>
      <c r="I67" s="112"/>
      <c r="J67" s="113">
        <f>J125</f>
        <v>0</v>
      </c>
      <c r="L67" s="110"/>
    </row>
    <row r="68" spans="1:31" s="10" customFormat="1" ht="19.899999999999999" customHeight="1">
      <c r="B68" s="110"/>
      <c r="D68" s="111" t="s">
        <v>833</v>
      </c>
      <c r="E68" s="112"/>
      <c r="F68" s="112"/>
      <c r="G68" s="112"/>
      <c r="H68" s="112"/>
      <c r="I68" s="112"/>
      <c r="J68" s="113">
        <f>J217</f>
        <v>0</v>
      </c>
      <c r="L68" s="110"/>
    </row>
    <row r="69" spans="1:31" s="9" customFormat="1" ht="24.95" customHeight="1">
      <c r="B69" s="106"/>
      <c r="D69" s="107" t="s">
        <v>530</v>
      </c>
      <c r="E69" s="108"/>
      <c r="F69" s="108"/>
      <c r="G69" s="108"/>
      <c r="H69" s="108"/>
      <c r="I69" s="108"/>
      <c r="J69" s="109">
        <f>J247</f>
        <v>0</v>
      </c>
      <c r="L69" s="106"/>
    </row>
    <row r="70" spans="1:31" s="2" customFormat="1" ht="21.75" customHeight="1">
      <c r="A70" s="31"/>
      <c r="B70" s="32"/>
      <c r="C70" s="31"/>
      <c r="D70" s="31"/>
      <c r="E70" s="31"/>
      <c r="F70" s="31"/>
      <c r="G70" s="31"/>
      <c r="H70" s="31"/>
      <c r="I70" s="31"/>
      <c r="J70" s="31"/>
      <c r="K70" s="31"/>
      <c r="L70" s="89"/>
      <c r="S70" s="31"/>
      <c r="T70" s="31"/>
      <c r="U70" s="31"/>
      <c r="V70" s="31"/>
      <c r="W70" s="31"/>
      <c r="X70" s="31"/>
      <c r="Y70" s="31"/>
      <c r="Z70" s="31"/>
      <c r="AA70" s="31"/>
      <c r="AB70" s="31"/>
      <c r="AC70" s="31"/>
      <c r="AD70" s="31"/>
      <c r="AE70" s="31"/>
    </row>
    <row r="71" spans="1:31" s="2" customFormat="1" ht="6.95" customHeight="1">
      <c r="A71" s="31"/>
      <c r="B71" s="41"/>
      <c r="C71" s="42"/>
      <c r="D71" s="42"/>
      <c r="E71" s="42"/>
      <c r="F71" s="42"/>
      <c r="G71" s="42"/>
      <c r="H71" s="42"/>
      <c r="I71" s="42"/>
      <c r="J71" s="42"/>
      <c r="K71" s="42"/>
      <c r="L71" s="89"/>
      <c r="S71" s="31"/>
      <c r="T71" s="31"/>
      <c r="U71" s="31"/>
      <c r="V71" s="31"/>
      <c r="W71" s="31"/>
      <c r="X71" s="31"/>
      <c r="Y71" s="31"/>
      <c r="Z71" s="31"/>
      <c r="AA71" s="31"/>
      <c r="AB71" s="31"/>
      <c r="AC71" s="31"/>
      <c r="AD71" s="31"/>
      <c r="AE71" s="31"/>
    </row>
    <row r="75" spans="1:31" s="2" customFormat="1" ht="6.95" customHeight="1">
      <c r="A75" s="31"/>
      <c r="B75" s="43"/>
      <c r="C75" s="44"/>
      <c r="D75" s="44"/>
      <c r="E75" s="44"/>
      <c r="F75" s="44"/>
      <c r="G75" s="44"/>
      <c r="H75" s="44"/>
      <c r="I75" s="44"/>
      <c r="J75" s="44"/>
      <c r="K75" s="44"/>
      <c r="L75" s="89"/>
      <c r="S75" s="31"/>
      <c r="T75" s="31"/>
      <c r="U75" s="31"/>
      <c r="V75" s="31"/>
      <c r="W75" s="31"/>
      <c r="X75" s="31"/>
      <c r="Y75" s="31"/>
      <c r="Z75" s="31"/>
      <c r="AA75" s="31"/>
      <c r="AB75" s="31"/>
      <c r="AC75" s="31"/>
      <c r="AD75" s="31"/>
      <c r="AE75" s="31"/>
    </row>
    <row r="76" spans="1:31" s="2" customFormat="1" ht="24.95" customHeight="1">
      <c r="A76" s="31"/>
      <c r="B76" s="32"/>
      <c r="C76" s="23" t="s">
        <v>123</v>
      </c>
      <c r="D76" s="31"/>
      <c r="E76" s="31"/>
      <c r="F76" s="31"/>
      <c r="G76" s="31"/>
      <c r="H76" s="31"/>
      <c r="I76" s="31"/>
      <c r="J76" s="31"/>
      <c r="K76" s="31"/>
      <c r="L76" s="89"/>
      <c r="S76" s="31"/>
      <c r="T76" s="31"/>
      <c r="U76" s="31"/>
      <c r="V76" s="31"/>
      <c r="W76" s="31"/>
      <c r="X76" s="31"/>
      <c r="Y76" s="31"/>
      <c r="Z76" s="31"/>
      <c r="AA76" s="31"/>
      <c r="AB76" s="31"/>
      <c r="AC76" s="31"/>
      <c r="AD76" s="31"/>
      <c r="AE76" s="31"/>
    </row>
    <row r="77" spans="1:31" s="2" customFormat="1" ht="6.95" customHeight="1">
      <c r="A77" s="31"/>
      <c r="B77" s="32"/>
      <c r="C77" s="31"/>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12" customHeight="1">
      <c r="A78" s="31"/>
      <c r="B78" s="32"/>
      <c r="C78" s="28" t="s">
        <v>14</v>
      </c>
      <c r="D78" s="31"/>
      <c r="E78" s="31"/>
      <c r="F78" s="31"/>
      <c r="G78" s="31"/>
      <c r="H78" s="31"/>
      <c r="I78" s="31"/>
      <c r="J78" s="31"/>
      <c r="K78" s="31"/>
      <c r="L78" s="89"/>
      <c r="S78" s="31"/>
      <c r="T78" s="31"/>
      <c r="U78" s="31"/>
      <c r="V78" s="31"/>
      <c r="W78" s="31"/>
      <c r="X78" s="31"/>
      <c r="Y78" s="31"/>
      <c r="Z78" s="31"/>
      <c r="AA78" s="31"/>
      <c r="AB78" s="31"/>
      <c r="AC78" s="31"/>
      <c r="AD78" s="31"/>
      <c r="AE78" s="31"/>
    </row>
    <row r="79" spans="1:31" s="2" customFormat="1" ht="23.25" customHeight="1">
      <c r="A79" s="31"/>
      <c r="B79" s="32"/>
      <c r="C79" s="31"/>
      <c r="D79" s="31"/>
      <c r="E79" s="358" t="str">
        <f>E7</f>
        <v>Rekonstrukce objektu vrátnice a areálu Nemocnice Nymburk s.r.o. , objekt na č.parc. 323, k.ú. Nymburk</v>
      </c>
      <c r="F79" s="359"/>
      <c r="G79" s="359"/>
      <c r="H79" s="359"/>
      <c r="I79" s="31"/>
      <c r="J79" s="31"/>
      <c r="K79" s="31"/>
      <c r="L79" s="89"/>
      <c r="S79" s="31"/>
      <c r="T79" s="31"/>
      <c r="U79" s="31"/>
      <c r="V79" s="31"/>
      <c r="W79" s="31"/>
      <c r="X79" s="31"/>
      <c r="Y79" s="31"/>
      <c r="Z79" s="31"/>
      <c r="AA79" s="31"/>
      <c r="AB79" s="31"/>
      <c r="AC79" s="31"/>
      <c r="AD79" s="31"/>
      <c r="AE79" s="31"/>
    </row>
    <row r="80" spans="1:31" s="2" customFormat="1" ht="12" customHeight="1">
      <c r="A80" s="31"/>
      <c r="B80" s="32"/>
      <c r="C80" s="28" t="s">
        <v>102</v>
      </c>
      <c r="D80" s="31"/>
      <c r="E80" s="31"/>
      <c r="F80" s="31"/>
      <c r="G80" s="31"/>
      <c r="H80" s="31"/>
      <c r="I80" s="31"/>
      <c r="J80" s="31"/>
      <c r="K80" s="31"/>
      <c r="L80" s="89"/>
      <c r="S80" s="31"/>
      <c r="T80" s="31"/>
      <c r="U80" s="31"/>
      <c r="V80" s="31"/>
      <c r="W80" s="31"/>
      <c r="X80" s="31"/>
      <c r="Y80" s="31"/>
      <c r="Z80" s="31"/>
      <c r="AA80" s="31"/>
      <c r="AB80" s="31"/>
      <c r="AC80" s="31"/>
      <c r="AD80" s="31"/>
      <c r="AE80" s="31"/>
    </row>
    <row r="81" spans="1:65" s="2" customFormat="1" ht="16.5" customHeight="1">
      <c r="A81" s="31"/>
      <c r="B81" s="32"/>
      <c r="C81" s="31"/>
      <c r="D81" s="31"/>
      <c r="E81" s="324" t="str">
        <f>E9</f>
        <v>04 - Elektroinstalace</v>
      </c>
      <c r="F81" s="357"/>
      <c r="G81" s="357"/>
      <c r="H81" s="357"/>
      <c r="I81" s="31"/>
      <c r="J81" s="31"/>
      <c r="K81" s="31"/>
      <c r="L81" s="89"/>
      <c r="S81" s="31"/>
      <c r="T81" s="31"/>
      <c r="U81" s="31"/>
      <c r="V81" s="31"/>
      <c r="W81" s="31"/>
      <c r="X81" s="31"/>
      <c r="Y81" s="31"/>
      <c r="Z81" s="31"/>
      <c r="AA81" s="31"/>
      <c r="AB81" s="31"/>
      <c r="AC81" s="31"/>
      <c r="AD81" s="31"/>
      <c r="AE81" s="31"/>
    </row>
    <row r="82" spans="1:65" s="2" customFormat="1" ht="6.95" customHeight="1">
      <c r="A82" s="31"/>
      <c r="B82" s="32"/>
      <c r="C82" s="31"/>
      <c r="D82" s="31"/>
      <c r="E82" s="31"/>
      <c r="F82" s="31"/>
      <c r="G82" s="31"/>
      <c r="H82" s="31"/>
      <c r="I82" s="31"/>
      <c r="J82" s="31"/>
      <c r="K82" s="31"/>
      <c r="L82" s="89"/>
      <c r="S82" s="31"/>
      <c r="T82" s="31"/>
      <c r="U82" s="31"/>
      <c r="V82" s="31"/>
      <c r="W82" s="31"/>
      <c r="X82" s="31"/>
      <c r="Y82" s="31"/>
      <c r="Z82" s="31"/>
      <c r="AA82" s="31"/>
      <c r="AB82" s="31"/>
      <c r="AC82" s="31"/>
      <c r="AD82" s="31"/>
      <c r="AE82" s="31"/>
    </row>
    <row r="83" spans="1:65" s="2" customFormat="1" ht="12" customHeight="1">
      <c r="A83" s="31"/>
      <c r="B83" s="32"/>
      <c r="C83" s="28" t="s">
        <v>19</v>
      </c>
      <c r="D83" s="31"/>
      <c r="E83" s="31"/>
      <c r="F83" s="26" t="str">
        <f>F12</f>
        <v>Nymburk</v>
      </c>
      <c r="G83" s="31"/>
      <c r="H83" s="31"/>
      <c r="I83" s="28" t="s">
        <v>21</v>
      </c>
      <c r="J83" s="49">
        <f>IF(J12="","",J12)</f>
        <v>44144</v>
      </c>
      <c r="K83" s="31"/>
      <c r="L83" s="89"/>
      <c r="S83" s="31"/>
      <c r="T83" s="31"/>
      <c r="U83" s="31"/>
      <c r="V83" s="31"/>
      <c r="W83" s="31"/>
      <c r="X83" s="31"/>
      <c r="Y83" s="31"/>
      <c r="Z83" s="31"/>
      <c r="AA83" s="31"/>
      <c r="AB83" s="31"/>
      <c r="AC83" s="31"/>
      <c r="AD83" s="31"/>
      <c r="AE83" s="31"/>
    </row>
    <row r="84" spans="1:65" s="2" customFormat="1" ht="6.95" customHeight="1">
      <c r="A84" s="31"/>
      <c r="B84" s="32"/>
      <c r="C84" s="31"/>
      <c r="D84" s="31"/>
      <c r="E84" s="31"/>
      <c r="F84" s="31"/>
      <c r="G84" s="31"/>
      <c r="H84" s="31"/>
      <c r="I84" s="31"/>
      <c r="J84" s="31"/>
      <c r="K84" s="31"/>
      <c r="L84" s="89"/>
      <c r="S84" s="31"/>
      <c r="T84" s="31"/>
      <c r="U84" s="31"/>
      <c r="V84" s="31"/>
      <c r="W84" s="31"/>
      <c r="X84" s="31"/>
      <c r="Y84" s="31"/>
      <c r="Z84" s="31"/>
      <c r="AA84" s="31"/>
      <c r="AB84" s="31"/>
      <c r="AC84" s="31"/>
      <c r="AD84" s="31"/>
      <c r="AE84" s="31"/>
    </row>
    <row r="85" spans="1:65" s="2" customFormat="1" ht="25.7" customHeight="1">
      <c r="A85" s="31"/>
      <c r="B85" s="32"/>
      <c r="C85" s="28" t="s">
        <v>22</v>
      </c>
      <c r="D85" s="31"/>
      <c r="E85" s="31"/>
      <c r="F85" s="26" t="str">
        <f>E15</f>
        <v>Nemocnice Nymburk s.r.o.</v>
      </c>
      <c r="G85" s="31"/>
      <c r="H85" s="31"/>
      <c r="I85" s="28" t="s">
        <v>30</v>
      </c>
      <c r="J85" s="29" t="str">
        <f>E21</f>
        <v>Ing. arch. Pavel Petrák</v>
      </c>
      <c r="K85" s="31"/>
      <c r="L85" s="89"/>
      <c r="S85" s="31"/>
      <c r="T85" s="31"/>
      <c r="U85" s="31"/>
      <c r="V85" s="31"/>
      <c r="W85" s="31"/>
      <c r="X85" s="31"/>
      <c r="Y85" s="31"/>
      <c r="Z85" s="31"/>
      <c r="AA85" s="31"/>
      <c r="AB85" s="31"/>
      <c r="AC85" s="31"/>
      <c r="AD85" s="31"/>
      <c r="AE85" s="31"/>
    </row>
    <row r="86" spans="1:65" s="2" customFormat="1" ht="15.2" customHeight="1">
      <c r="A86" s="31"/>
      <c r="B86" s="32"/>
      <c r="C86" s="28" t="s">
        <v>28</v>
      </c>
      <c r="D86" s="31"/>
      <c r="E86" s="31"/>
      <c r="F86" s="26" t="str">
        <f>IF(E18="","",E18)</f>
        <v xml:space="preserve"> </v>
      </c>
      <c r="G86" s="31"/>
      <c r="H86" s="31"/>
      <c r="I86" s="28" t="s">
        <v>35</v>
      </c>
      <c r="J86" s="29" t="str">
        <f>E24</f>
        <v xml:space="preserve"> </v>
      </c>
      <c r="K86" s="31"/>
      <c r="L86" s="89"/>
      <c r="S86" s="31"/>
      <c r="T86" s="31"/>
      <c r="U86" s="31"/>
      <c r="V86" s="31"/>
      <c r="W86" s="31"/>
      <c r="X86" s="31"/>
      <c r="Y86" s="31"/>
      <c r="Z86" s="31"/>
      <c r="AA86" s="31"/>
      <c r="AB86" s="31"/>
      <c r="AC86" s="31"/>
      <c r="AD86" s="31"/>
      <c r="AE86" s="31"/>
    </row>
    <row r="87" spans="1:65" s="2" customFormat="1" ht="10.35" customHeight="1">
      <c r="A87" s="31"/>
      <c r="B87" s="32"/>
      <c r="C87" s="31"/>
      <c r="D87" s="31"/>
      <c r="E87" s="31"/>
      <c r="F87" s="31"/>
      <c r="G87" s="31"/>
      <c r="H87" s="31"/>
      <c r="I87" s="31"/>
      <c r="J87" s="31"/>
      <c r="K87" s="31"/>
      <c r="L87" s="89"/>
      <c r="S87" s="31"/>
      <c r="T87" s="31"/>
      <c r="U87" s="31"/>
      <c r="V87" s="31"/>
      <c r="W87" s="31"/>
      <c r="X87" s="31"/>
      <c r="Y87" s="31"/>
      <c r="Z87" s="31"/>
      <c r="AA87" s="31"/>
      <c r="AB87" s="31"/>
      <c r="AC87" s="31"/>
      <c r="AD87" s="31"/>
      <c r="AE87" s="31"/>
    </row>
    <row r="88" spans="1:65" s="11" customFormat="1" ht="29.25" customHeight="1">
      <c r="A88" s="114"/>
      <c r="B88" s="115"/>
      <c r="C88" s="116" t="s">
        <v>124</v>
      </c>
      <c r="D88" s="117" t="s">
        <v>57</v>
      </c>
      <c r="E88" s="117" t="s">
        <v>53</v>
      </c>
      <c r="F88" s="117" t="s">
        <v>54</v>
      </c>
      <c r="G88" s="117" t="s">
        <v>125</v>
      </c>
      <c r="H88" s="117" t="s">
        <v>126</v>
      </c>
      <c r="I88" s="117" t="s">
        <v>127</v>
      </c>
      <c r="J88" s="117" t="s">
        <v>106</v>
      </c>
      <c r="K88" s="118" t="s">
        <v>128</v>
      </c>
      <c r="L88" s="119"/>
      <c r="M88" s="56" t="s">
        <v>3</v>
      </c>
      <c r="N88" s="57" t="s">
        <v>42</v>
      </c>
      <c r="O88" s="57" t="s">
        <v>129</v>
      </c>
      <c r="P88" s="57" t="s">
        <v>130</v>
      </c>
      <c r="Q88" s="57" t="s">
        <v>131</v>
      </c>
      <c r="R88" s="57" t="s">
        <v>132</v>
      </c>
      <c r="S88" s="57" t="s">
        <v>133</v>
      </c>
      <c r="T88" s="58" t="s">
        <v>134</v>
      </c>
      <c r="U88" s="114"/>
      <c r="V88" s="114"/>
      <c r="W88" s="114"/>
      <c r="X88" s="114"/>
      <c r="Y88" s="114"/>
      <c r="Z88" s="114"/>
      <c r="AA88" s="114"/>
      <c r="AB88" s="114"/>
      <c r="AC88" s="114"/>
      <c r="AD88" s="114"/>
      <c r="AE88" s="114"/>
    </row>
    <row r="89" spans="1:65" s="2" customFormat="1" ht="22.9" customHeight="1">
      <c r="A89" s="31"/>
      <c r="B89" s="32"/>
      <c r="C89" s="63" t="s">
        <v>135</v>
      </c>
      <c r="D89" s="31"/>
      <c r="E89" s="31"/>
      <c r="F89" s="31"/>
      <c r="G89" s="31"/>
      <c r="H89" s="31"/>
      <c r="I89" s="31"/>
      <c r="J89" s="120">
        <f>BK89</f>
        <v>0</v>
      </c>
      <c r="K89" s="31"/>
      <c r="L89" s="32"/>
      <c r="M89" s="59"/>
      <c r="N89" s="50"/>
      <c r="O89" s="60"/>
      <c r="P89" s="121">
        <f>P90+P124+P247</f>
        <v>575.03536000000008</v>
      </c>
      <c r="Q89" s="60"/>
      <c r="R89" s="121">
        <f>R90+R124+R247</f>
        <v>2.9007140000000002</v>
      </c>
      <c r="S89" s="60"/>
      <c r="T89" s="122">
        <f>T90+T124+T247</f>
        <v>4.8410000000000002</v>
      </c>
      <c r="U89" s="31"/>
      <c r="V89" s="31"/>
      <c r="W89" s="31"/>
      <c r="X89" s="31"/>
      <c r="Y89" s="31"/>
      <c r="Z89" s="31"/>
      <c r="AA89" s="31"/>
      <c r="AB89" s="31"/>
      <c r="AC89" s="31"/>
      <c r="AD89" s="31"/>
      <c r="AE89" s="31"/>
      <c r="AT89" s="19" t="s">
        <v>71</v>
      </c>
      <c r="AU89" s="19" t="s">
        <v>107</v>
      </c>
      <c r="BK89" s="123">
        <f>BK90+BK124+BK247</f>
        <v>0</v>
      </c>
    </row>
    <row r="90" spans="1:65" s="12" customFormat="1" ht="25.9" customHeight="1">
      <c r="B90" s="124"/>
      <c r="D90" s="125" t="s">
        <v>71</v>
      </c>
      <c r="E90" s="126" t="s">
        <v>136</v>
      </c>
      <c r="F90" s="126" t="s">
        <v>137</v>
      </c>
      <c r="J90" s="127">
        <f>BK90</f>
        <v>0</v>
      </c>
      <c r="L90" s="124"/>
      <c r="M90" s="128"/>
      <c r="N90" s="129"/>
      <c r="O90" s="129"/>
      <c r="P90" s="130">
        <f>P91+P95+P100+P107+P121</f>
        <v>218.25236000000004</v>
      </c>
      <c r="Q90" s="129"/>
      <c r="R90" s="130">
        <f>R91+R95+R100+R107+R121</f>
        <v>2.5777000000000001</v>
      </c>
      <c r="S90" s="129"/>
      <c r="T90" s="131">
        <f>T91+T95+T100+T107+T121</f>
        <v>4.8410000000000002</v>
      </c>
      <c r="AR90" s="125" t="s">
        <v>80</v>
      </c>
      <c r="AT90" s="132" t="s">
        <v>71</v>
      </c>
      <c r="AU90" s="132" t="s">
        <v>72</v>
      </c>
      <c r="AY90" s="125" t="s">
        <v>138</v>
      </c>
      <c r="BK90" s="133">
        <f>BK91+BK95+BK100+BK107+BK121</f>
        <v>0</v>
      </c>
    </row>
    <row r="91" spans="1:65" s="12" customFormat="1" ht="22.9" customHeight="1">
      <c r="B91" s="124"/>
      <c r="D91" s="125" t="s">
        <v>71</v>
      </c>
      <c r="E91" s="134" t="s">
        <v>139</v>
      </c>
      <c r="F91" s="134" t="s">
        <v>140</v>
      </c>
      <c r="J91" s="135">
        <f>BK91</f>
        <v>0</v>
      </c>
      <c r="L91" s="124"/>
      <c r="M91" s="128"/>
      <c r="N91" s="129"/>
      <c r="O91" s="129"/>
      <c r="P91" s="130">
        <f>SUM(P92:P94)</f>
        <v>6.8250000000000002</v>
      </c>
      <c r="Q91" s="129"/>
      <c r="R91" s="130">
        <f>SUM(R92:R94)</f>
        <v>0.44169999999999998</v>
      </c>
      <c r="S91" s="129"/>
      <c r="T91" s="131">
        <f>SUM(T92:T94)</f>
        <v>0</v>
      </c>
      <c r="AR91" s="125" t="s">
        <v>80</v>
      </c>
      <c r="AT91" s="132" t="s">
        <v>71</v>
      </c>
      <c r="AU91" s="132" t="s">
        <v>80</v>
      </c>
      <c r="AY91" s="125" t="s">
        <v>138</v>
      </c>
      <c r="BK91" s="133">
        <f>SUM(BK92:BK94)</f>
        <v>0</v>
      </c>
    </row>
    <row r="92" spans="1:65" s="2" customFormat="1" ht="24.2" customHeight="1">
      <c r="A92" s="31"/>
      <c r="B92" s="136"/>
      <c r="C92" s="137" t="s">
        <v>80</v>
      </c>
      <c r="D92" s="137" t="s">
        <v>141</v>
      </c>
      <c r="E92" s="138" t="s">
        <v>533</v>
      </c>
      <c r="F92" s="139" t="s">
        <v>534</v>
      </c>
      <c r="G92" s="140" t="s">
        <v>147</v>
      </c>
      <c r="H92" s="141">
        <f>H94</f>
        <v>35</v>
      </c>
      <c r="I92" s="142"/>
      <c r="J92" s="142">
        <f>ROUND(I92*H92,2)</f>
        <v>0</v>
      </c>
      <c r="K92" s="139" t="s">
        <v>148</v>
      </c>
      <c r="L92" s="32"/>
      <c r="M92" s="143" t="s">
        <v>3</v>
      </c>
      <c r="N92" s="144" t="s">
        <v>43</v>
      </c>
      <c r="O92" s="145">
        <v>0.19500000000000001</v>
      </c>
      <c r="P92" s="145">
        <f>O92*H92</f>
        <v>6.8250000000000002</v>
      </c>
      <c r="Q92" s="145">
        <v>1.2619999999999999E-2</v>
      </c>
      <c r="R92" s="145">
        <f>Q92*H92</f>
        <v>0.44169999999999998</v>
      </c>
      <c r="S92" s="145">
        <v>0</v>
      </c>
      <c r="T92" s="146">
        <f>S92*H92</f>
        <v>0</v>
      </c>
      <c r="U92" s="31"/>
      <c r="V92" s="31"/>
      <c r="W92" s="31"/>
      <c r="X92" s="31"/>
      <c r="Y92" s="31"/>
      <c r="Z92" s="31"/>
      <c r="AA92" s="31"/>
      <c r="AB92" s="31"/>
      <c r="AC92" s="31"/>
      <c r="AD92" s="31"/>
      <c r="AE92" s="31"/>
      <c r="AR92" s="147" t="s">
        <v>144</v>
      </c>
      <c r="AT92" s="147" t="s">
        <v>141</v>
      </c>
      <c r="AU92" s="147" t="s">
        <v>82</v>
      </c>
      <c r="AY92" s="19" t="s">
        <v>138</v>
      </c>
      <c r="BE92" s="148">
        <f>IF(N92="základní",J92,0)</f>
        <v>0</v>
      </c>
      <c r="BF92" s="148">
        <f>IF(N92="snížená",J92,0)</f>
        <v>0</v>
      </c>
      <c r="BG92" s="148">
        <f>IF(N92="zákl. přenesená",J92,0)</f>
        <v>0</v>
      </c>
      <c r="BH92" s="148">
        <f>IF(N92="sníž. přenesená",J92,0)</f>
        <v>0</v>
      </c>
      <c r="BI92" s="148">
        <f>IF(N92="nulová",J92,0)</f>
        <v>0</v>
      </c>
      <c r="BJ92" s="19" t="s">
        <v>80</v>
      </c>
      <c r="BK92" s="148">
        <f>ROUND(I92*H92,2)</f>
        <v>0</v>
      </c>
      <c r="BL92" s="19" t="s">
        <v>144</v>
      </c>
      <c r="BM92" s="147" t="s">
        <v>834</v>
      </c>
    </row>
    <row r="93" spans="1:65" s="13" customFormat="1">
      <c r="B93" s="149"/>
      <c r="D93" s="150" t="s">
        <v>145</v>
      </c>
      <c r="E93" s="151" t="s">
        <v>3</v>
      </c>
      <c r="F93" s="152" t="s">
        <v>198</v>
      </c>
      <c r="H93" s="151" t="s">
        <v>3</v>
      </c>
      <c r="L93" s="149"/>
      <c r="M93" s="153"/>
      <c r="N93" s="154"/>
      <c r="O93" s="154"/>
      <c r="P93" s="154"/>
      <c r="Q93" s="154"/>
      <c r="R93" s="154"/>
      <c r="S93" s="154"/>
      <c r="T93" s="155"/>
      <c r="AT93" s="151" t="s">
        <v>145</v>
      </c>
      <c r="AU93" s="151" t="s">
        <v>82</v>
      </c>
      <c r="AV93" s="13" t="s">
        <v>80</v>
      </c>
      <c r="AW93" s="13" t="s">
        <v>34</v>
      </c>
      <c r="AX93" s="13" t="s">
        <v>72</v>
      </c>
      <c r="AY93" s="151" t="s">
        <v>138</v>
      </c>
    </row>
    <row r="94" spans="1:65" s="14" customFormat="1">
      <c r="B94" s="156"/>
      <c r="D94" s="150" t="s">
        <v>145</v>
      </c>
      <c r="E94" s="157" t="s">
        <v>3</v>
      </c>
      <c r="F94" s="158">
        <v>35</v>
      </c>
      <c r="H94" s="159">
        <v>35</v>
      </c>
      <c r="L94" s="156"/>
      <c r="M94" s="160"/>
      <c r="N94" s="161"/>
      <c r="O94" s="161"/>
      <c r="P94" s="161"/>
      <c r="Q94" s="161"/>
      <c r="R94" s="161"/>
      <c r="S94" s="161"/>
      <c r="T94" s="162"/>
      <c r="AT94" s="157" t="s">
        <v>145</v>
      </c>
      <c r="AU94" s="157" t="s">
        <v>82</v>
      </c>
      <c r="AV94" s="14" t="s">
        <v>82</v>
      </c>
      <c r="AW94" s="14" t="s">
        <v>34</v>
      </c>
      <c r="AX94" s="14" t="s">
        <v>80</v>
      </c>
      <c r="AY94" s="157" t="s">
        <v>138</v>
      </c>
    </row>
    <row r="95" spans="1:65" s="12" customFormat="1" ht="22.9" customHeight="1">
      <c r="B95" s="124"/>
      <c r="D95" s="125" t="s">
        <v>71</v>
      </c>
      <c r="E95" s="134" t="s">
        <v>169</v>
      </c>
      <c r="F95" s="134" t="s">
        <v>199</v>
      </c>
      <c r="J95" s="135">
        <f>BK95</f>
        <v>0</v>
      </c>
      <c r="L95" s="124"/>
      <c r="M95" s="128"/>
      <c r="N95" s="129"/>
      <c r="O95" s="129"/>
      <c r="P95" s="130">
        <f>SUM(P96:P99)</f>
        <v>33.321600000000004</v>
      </c>
      <c r="Q95" s="129"/>
      <c r="R95" s="130">
        <f>SUM(R96:R99)</f>
        <v>2.1360000000000001</v>
      </c>
      <c r="S95" s="129"/>
      <c r="T95" s="131">
        <f>SUM(T96:T99)</f>
        <v>0</v>
      </c>
      <c r="AR95" s="125" t="s">
        <v>80</v>
      </c>
      <c r="AT95" s="132" t="s">
        <v>71</v>
      </c>
      <c r="AU95" s="132" t="s">
        <v>80</v>
      </c>
      <c r="AY95" s="125" t="s">
        <v>138</v>
      </c>
      <c r="BK95" s="133">
        <f>SUM(BK96:BK99)</f>
        <v>0</v>
      </c>
    </row>
    <row r="96" spans="1:65" s="2" customFormat="1" ht="14.45" customHeight="1">
      <c r="A96" s="31"/>
      <c r="B96" s="136"/>
      <c r="C96" s="137">
        <v>2</v>
      </c>
      <c r="D96" s="137" t="s">
        <v>141</v>
      </c>
      <c r="E96" s="138" t="s">
        <v>549</v>
      </c>
      <c r="F96" s="139" t="s">
        <v>550</v>
      </c>
      <c r="G96" s="140" t="s">
        <v>173</v>
      </c>
      <c r="H96" s="141">
        <f>H99</f>
        <v>53.400000000000006</v>
      </c>
      <c r="I96" s="142"/>
      <c r="J96" s="142">
        <f>ROUND(I96*H96,2)</f>
        <v>0</v>
      </c>
      <c r="K96" s="139" t="s">
        <v>148</v>
      </c>
      <c r="L96" s="32"/>
      <c r="M96" s="143" t="s">
        <v>3</v>
      </c>
      <c r="N96" s="144" t="s">
        <v>43</v>
      </c>
      <c r="O96" s="145">
        <v>0.624</v>
      </c>
      <c r="P96" s="145">
        <f>O96*H96</f>
        <v>33.321600000000004</v>
      </c>
      <c r="Q96" s="145">
        <v>0.04</v>
      </c>
      <c r="R96" s="145">
        <f>Q96*H96</f>
        <v>2.1360000000000001</v>
      </c>
      <c r="S96" s="145">
        <v>0</v>
      </c>
      <c r="T96" s="146">
        <f>S96*H96</f>
        <v>0</v>
      </c>
      <c r="U96" s="31"/>
      <c r="V96" s="31"/>
      <c r="W96" s="31"/>
      <c r="X96" s="31"/>
      <c r="Y96" s="31"/>
      <c r="Z96" s="31"/>
      <c r="AA96" s="31"/>
      <c r="AB96" s="31"/>
      <c r="AC96" s="31"/>
      <c r="AD96" s="31"/>
      <c r="AE96" s="31"/>
      <c r="AR96" s="147" t="s">
        <v>144</v>
      </c>
      <c r="AT96" s="147" t="s">
        <v>141</v>
      </c>
      <c r="AU96" s="147" t="s">
        <v>82</v>
      </c>
      <c r="AY96" s="19" t="s">
        <v>138</v>
      </c>
      <c r="BE96" s="148">
        <f>IF(N96="základní",J96,0)</f>
        <v>0</v>
      </c>
      <c r="BF96" s="148">
        <f>IF(N96="snížená",J96,0)</f>
        <v>0</v>
      </c>
      <c r="BG96" s="148">
        <f>IF(N96="zákl. přenesená",J96,0)</f>
        <v>0</v>
      </c>
      <c r="BH96" s="148">
        <f>IF(N96="sníž. přenesená",J96,0)</f>
        <v>0</v>
      </c>
      <c r="BI96" s="148">
        <f>IF(N96="nulová",J96,0)</f>
        <v>0</v>
      </c>
      <c r="BJ96" s="19" t="s">
        <v>80</v>
      </c>
      <c r="BK96" s="148">
        <f>ROUND(I96*H96,2)</f>
        <v>0</v>
      </c>
      <c r="BL96" s="19" t="s">
        <v>144</v>
      </c>
      <c r="BM96" s="147" t="s">
        <v>836</v>
      </c>
    </row>
    <row r="97" spans="1:65" s="2" customFormat="1" ht="39">
      <c r="A97" s="31"/>
      <c r="B97" s="32"/>
      <c r="C97" s="31"/>
      <c r="D97" s="150" t="s">
        <v>149</v>
      </c>
      <c r="E97" s="31"/>
      <c r="F97" s="163" t="s">
        <v>552</v>
      </c>
      <c r="G97" s="31"/>
      <c r="H97" s="31"/>
      <c r="I97" s="31"/>
      <c r="J97" s="31"/>
      <c r="K97" s="31"/>
      <c r="L97" s="32"/>
      <c r="M97" s="164"/>
      <c r="N97" s="165"/>
      <c r="O97" s="52"/>
      <c r="P97" s="52"/>
      <c r="Q97" s="52"/>
      <c r="R97" s="52"/>
      <c r="S97" s="52"/>
      <c r="T97" s="53"/>
      <c r="U97" s="31"/>
      <c r="V97" s="31"/>
      <c r="W97" s="31"/>
      <c r="X97" s="31"/>
      <c r="Y97" s="31"/>
      <c r="Z97" s="31"/>
      <c r="AA97" s="31"/>
      <c r="AB97" s="31"/>
      <c r="AC97" s="31"/>
      <c r="AD97" s="31"/>
      <c r="AE97" s="31"/>
      <c r="AT97" s="19" t="s">
        <v>149</v>
      </c>
      <c r="AU97" s="19" t="s">
        <v>82</v>
      </c>
    </row>
    <row r="98" spans="1:65" s="13" customFormat="1">
      <c r="B98" s="149"/>
      <c r="D98" s="150" t="s">
        <v>145</v>
      </c>
      <c r="E98" s="151" t="s">
        <v>3</v>
      </c>
      <c r="F98" s="152" t="s">
        <v>837</v>
      </c>
      <c r="H98" s="151" t="s">
        <v>3</v>
      </c>
      <c r="L98" s="149"/>
      <c r="M98" s="153"/>
      <c r="N98" s="154"/>
      <c r="O98" s="154"/>
      <c r="P98" s="154"/>
      <c r="Q98" s="154"/>
      <c r="R98" s="154"/>
      <c r="S98" s="154"/>
      <c r="T98" s="155"/>
      <c r="AT98" s="151" t="s">
        <v>145</v>
      </c>
      <c r="AU98" s="151" t="s">
        <v>82</v>
      </c>
      <c r="AV98" s="13" t="s">
        <v>80</v>
      </c>
      <c r="AW98" s="13" t="s">
        <v>34</v>
      </c>
      <c r="AX98" s="13" t="s">
        <v>72</v>
      </c>
      <c r="AY98" s="151" t="s">
        <v>138</v>
      </c>
    </row>
    <row r="99" spans="1:65" s="14" customFormat="1">
      <c r="B99" s="156"/>
      <c r="D99" s="150" t="s">
        <v>145</v>
      </c>
      <c r="E99" s="157" t="s">
        <v>3</v>
      </c>
      <c r="F99" s="158" t="s">
        <v>1376</v>
      </c>
      <c r="H99" s="159">
        <f>534*0.1</f>
        <v>53.400000000000006</v>
      </c>
      <c r="L99" s="156"/>
      <c r="M99" s="160"/>
      <c r="N99" s="161"/>
      <c r="O99" s="161"/>
      <c r="P99" s="161"/>
      <c r="Q99" s="161"/>
      <c r="R99" s="161"/>
      <c r="S99" s="161"/>
      <c r="T99" s="162"/>
      <c r="AT99" s="157" t="s">
        <v>145</v>
      </c>
      <c r="AU99" s="157" t="s">
        <v>82</v>
      </c>
      <c r="AV99" s="14" t="s">
        <v>82</v>
      </c>
      <c r="AW99" s="14" t="s">
        <v>34</v>
      </c>
      <c r="AX99" s="14" t="s">
        <v>80</v>
      </c>
      <c r="AY99" s="157" t="s">
        <v>138</v>
      </c>
    </row>
    <row r="100" spans="1:65" s="12" customFormat="1" ht="22.9" customHeight="1">
      <c r="B100" s="124"/>
      <c r="D100" s="125" t="s">
        <v>71</v>
      </c>
      <c r="E100" s="134" t="s">
        <v>178</v>
      </c>
      <c r="F100" s="134" t="s">
        <v>247</v>
      </c>
      <c r="J100" s="135">
        <f>BK100</f>
        <v>0</v>
      </c>
      <c r="L100" s="124"/>
      <c r="M100" s="128"/>
      <c r="N100" s="129"/>
      <c r="O100" s="129"/>
      <c r="P100" s="130">
        <f>SUM(P101:P106)</f>
        <v>143.75000000000003</v>
      </c>
      <c r="Q100" s="129"/>
      <c r="R100" s="130">
        <f>SUM(R101:R106)</f>
        <v>0</v>
      </c>
      <c r="S100" s="129"/>
      <c r="T100" s="131">
        <f>SUM(T101:T106)</f>
        <v>4.8410000000000002</v>
      </c>
      <c r="AR100" s="125" t="s">
        <v>80</v>
      </c>
      <c r="AT100" s="132" t="s">
        <v>71</v>
      </c>
      <c r="AU100" s="132" t="s">
        <v>80</v>
      </c>
      <c r="AY100" s="125" t="s">
        <v>138</v>
      </c>
      <c r="BK100" s="133">
        <f>SUM(BK101:BK106)</f>
        <v>0</v>
      </c>
    </row>
    <row r="101" spans="1:65" s="2" customFormat="1" ht="49.15" customHeight="1">
      <c r="A101" s="31"/>
      <c r="B101" s="136"/>
      <c r="C101" s="137">
        <v>3</v>
      </c>
      <c r="D101" s="137" t="s">
        <v>141</v>
      </c>
      <c r="E101" s="138" t="s">
        <v>838</v>
      </c>
      <c r="F101" s="139" t="s">
        <v>839</v>
      </c>
      <c r="G101" s="140" t="s">
        <v>147</v>
      </c>
      <c r="H101" s="141">
        <f>H92</f>
        <v>35</v>
      </c>
      <c r="I101" s="142"/>
      <c r="J101" s="142">
        <f>ROUND(I101*H101,2)</f>
        <v>0</v>
      </c>
      <c r="K101" s="139" t="s">
        <v>148</v>
      </c>
      <c r="L101" s="32"/>
      <c r="M101" s="143" t="s">
        <v>3</v>
      </c>
      <c r="N101" s="144" t="s">
        <v>43</v>
      </c>
      <c r="O101" s="145">
        <v>6.4000000000000001E-2</v>
      </c>
      <c r="P101" s="145">
        <f>O101*H101</f>
        <v>2.2400000000000002</v>
      </c>
      <c r="Q101" s="145">
        <v>0</v>
      </c>
      <c r="R101" s="145">
        <f>Q101*H101</f>
        <v>0</v>
      </c>
      <c r="S101" s="145">
        <v>1E-3</v>
      </c>
      <c r="T101" s="146">
        <f>S101*H101</f>
        <v>3.5000000000000003E-2</v>
      </c>
      <c r="U101" s="31"/>
      <c r="V101" s="31"/>
      <c r="W101" s="31"/>
      <c r="X101" s="31"/>
      <c r="Y101" s="31"/>
      <c r="Z101" s="31"/>
      <c r="AA101" s="31"/>
      <c r="AB101" s="31"/>
      <c r="AC101" s="31"/>
      <c r="AD101" s="31"/>
      <c r="AE101" s="31"/>
      <c r="AR101" s="147" t="s">
        <v>144</v>
      </c>
      <c r="AT101" s="147" t="s">
        <v>141</v>
      </c>
      <c r="AU101" s="147" t="s">
        <v>82</v>
      </c>
      <c r="AY101" s="19" t="s">
        <v>138</v>
      </c>
      <c r="BE101" s="148">
        <f>IF(N101="základní",J101,0)</f>
        <v>0</v>
      </c>
      <c r="BF101" s="148">
        <f>IF(N101="snížená",J101,0)</f>
        <v>0</v>
      </c>
      <c r="BG101" s="148">
        <f>IF(N101="zákl. přenesená",J101,0)</f>
        <v>0</v>
      </c>
      <c r="BH101" s="148">
        <f>IF(N101="sníž. přenesená",J101,0)</f>
        <v>0</v>
      </c>
      <c r="BI101" s="148">
        <f>IF(N101="nulová",J101,0)</f>
        <v>0</v>
      </c>
      <c r="BJ101" s="19" t="s">
        <v>80</v>
      </c>
      <c r="BK101" s="148">
        <f>ROUND(I101*H101,2)</f>
        <v>0</v>
      </c>
      <c r="BL101" s="19" t="s">
        <v>144</v>
      </c>
      <c r="BM101" s="147" t="s">
        <v>840</v>
      </c>
    </row>
    <row r="102" spans="1:65" s="13" customFormat="1">
      <c r="B102" s="149"/>
      <c r="D102" s="150" t="s">
        <v>145</v>
      </c>
      <c r="E102" s="151" t="s">
        <v>3</v>
      </c>
      <c r="F102" s="152" t="s">
        <v>837</v>
      </c>
      <c r="H102" s="151" t="s">
        <v>3</v>
      </c>
      <c r="L102" s="149"/>
      <c r="M102" s="153"/>
      <c r="N102" s="154"/>
      <c r="O102" s="154"/>
      <c r="P102" s="154"/>
      <c r="Q102" s="154"/>
      <c r="R102" s="154"/>
      <c r="S102" s="154"/>
      <c r="T102" s="155"/>
      <c r="AT102" s="151" t="s">
        <v>145</v>
      </c>
      <c r="AU102" s="151" t="s">
        <v>82</v>
      </c>
      <c r="AV102" s="13" t="s">
        <v>80</v>
      </c>
      <c r="AW102" s="13" t="s">
        <v>34</v>
      </c>
      <c r="AX102" s="13" t="s">
        <v>72</v>
      </c>
      <c r="AY102" s="151" t="s">
        <v>138</v>
      </c>
    </row>
    <row r="103" spans="1:65" s="14" customFormat="1">
      <c r="B103" s="156"/>
      <c r="D103" s="150" t="s">
        <v>145</v>
      </c>
      <c r="E103" s="157" t="s">
        <v>3</v>
      </c>
      <c r="F103" s="158">
        <v>35</v>
      </c>
      <c r="H103" s="159">
        <f>H92</f>
        <v>35</v>
      </c>
      <c r="L103" s="156"/>
      <c r="M103" s="160"/>
      <c r="N103" s="161"/>
      <c r="O103" s="161"/>
      <c r="P103" s="161"/>
      <c r="Q103" s="161"/>
      <c r="R103" s="161"/>
      <c r="S103" s="161"/>
      <c r="T103" s="162"/>
      <c r="AT103" s="157" t="s">
        <v>145</v>
      </c>
      <c r="AU103" s="157" t="s">
        <v>82</v>
      </c>
      <c r="AV103" s="14" t="s">
        <v>82</v>
      </c>
      <c r="AW103" s="14" t="s">
        <v>34</v>
      </c>
      <c r="AX103" s="14" t="s">
        <v>80</v>
      </c>
      <c r="AY103" s="157" t="s">
        <v>138</v>
      </c>
    </row>
    <row r="104" spans="1:65" s="2" customFormat="1" ht="37.9" customHeight="1">
      <c r="A104" s="31"/>
      <c r="B104" s="136"/>
      <c r="C104" s="137">
        <v>4</v>
      </c>
      <c r="D104" s="137" t="s">
        <v>141</v>
      </c>
      <c r="E104" s="138" t="s">
        <v>842</v>
      </c>
      <c r="F104" s="139" t="s">
        <v>843</v>
      </c>
      <c r="G104" s="140" t="s">
        <v>187</v>
      </c>
      <c r="H104" s="141">
        <f>H106</f>
        <v>534</v>
      </c>
      <c r="I104" s="142"/>
      <c r="J104" s="142">
        <f>ROUND(I104*H104,2)</f>
        <v>0</v>
      </c>
      <c r="K104" s="139" t="s">
        <v>148</v>
      </c>
      <c r="L104" s="32"/>
      <c r="M104" s="143" t="s">
        <v>3</v>
      </c>
      <c r="N104" s="144" t="s">
        <v>43</v>
      </c>
      <c r="O104" s="145">
        <v>0.26500000000000001</v>
      </c>
      <c r="P104" s="145">
        <f>O104*H104</f>
        <v>141.51000000000002</v>
      </c>
      <c r="Q104" s="145">
        <v>0</v>
      </c>
      <c r="R104" s="145">
        <f>Q104*H104</f>
        <v>0</v>
      </c>
      <c r="S104" s="145">
        <v>8.9999999999999993E-3</v>
      </c>
      <c r="T104" s="146">
        <f>S104*H104</f>
        <v>4.806</v>
      </c>
      <c r="U104" s="31"/>
      <c r="V104" s="31"/>
      <c r="W104" s="31"/>
      <c r="X104" s="31"/>
      <c r="Y104" s="31"/>
      <c r="Z104" s="31"/>
      <c r="AA104" s="31"/>
      <c r="AB104" s="31"/>
      <c r="AC104" s="31"/>
      <c r="AD104" s="31"/>
      <c r="AE104" s="31"/>
      <c r="AR104" s="147" t="s">
        <v>144</v>
      </c>
      <c r="AT104" s="147" t="s">
        <v>141</v>
      </c>
      <c r="AU104" s="147" t="s">
        <v>82</v>
      </c>
      <c r="AY104" s="19" t="s">
        <v>138</v>
      </c>
      <c r="BE104" s="148">
        <f>IF(N104="základní",J104,0)</f>
        <v>0</v>
      </c>
      <c r="BF104" s="148">
        <f>IF(N104="snížená",J104,0)</f>
        <v>0</v>
      </c>
      <c r="BG104" s="148">
        <f>IF(N104="zákl. přenesená",J104,0)</f>
        <v>0</v>
      </c>
      <c r="BH104" s="148">
        <f>IF(N104="sníž. přenesená",J104,0)</f>
        <v>0</v>
      </c>
      <c r="BI104" s="148">
        <f>IF(N104="nulová",J104,0)</f>
        <v>0</v>
      </c>
      <c r="BJ104" s="19" t="s">
        <v>80</v>
      </c>
      <c r="BK104" s="148">
        <f>ROUND(I104*H104,2)</f>
        <v>0</v>
      </c>
      <c r="BL104" s="19" t="s">
        <v>144</v>
      </c>
      <c r="BM104" s="147" t="s">
        <v>844</v>
      </c>
    </row>
    <row r="105" spans="1:65" s="13" customFormat="1">
      <c r="B105" s="149"/>
      <c r="D105" s="150" t="s">
        <v>145</v>
      </c>
      <c r="E105" s="151" t="s">
        <v>3</v>
      </c>
      <c r="F105" s="152" t="s">
        <v>837</v>
      </c>
      <c r="H105" s="151" t="s">
        <v>3</v>
      </c>
      <c r="L105" s="149"/>
      <c r="M105" s="153"/>
      <c r="N105" s="154"/>
      <c r="O105" s="154"/>
      <c r="P105" s="154"/>
      <c r="Q105" s="154"/>
      <c r="R105" s="154"/>
      <c r="S105" s="154"/>
      <c r="T105" s="155"/>
      <c r="AT105" s="151" t="s">
        <v>145</v>
      </c>
      <c r="AU105" s="151" t="s">
        <v>82</v>
      </c>
      <c r="AV105" s="13" t="s">
        <v>80</v>
      </c>
      <c r="AW105" s="13" t="s">
        <v>34</v>
      </c>
      <c r="AX105" s="13" t="s">
        <v>72</v>
      </c>
      <c r="AY105" s="151" t="s">
        <v>138</v>
      </c>
    </row>
    <row r="106" spans="1:65" s="14" customFormat="1">
      <c r="B106" s="156"/>
      <c r="D106" s="150" t="s">
        <v>145</v>
      </c>
      <c r="E106" s="157" t="s">
        <v>3</v>
      </c>
      <c r="F106" s="158">
        <f>H99*10</f>
        <v>534</v>
      </c>
      <c r="H106" s="159">
        <f>F106</f>
        <v>534</v>
      </c>
      <c r="L106" s="156"/>
      <c r="M106" s="160"/>
      <c r="N106" s="161"/>
      <c r="O106" s="161"/>
      <c r="P106" s="161"/>
      <c r="Q106" s="161"/>
      <c r="R106" s="161"/>
      <c r="S106" s="161"/>
      <c r="T106" s="162"/>
      <c r="AT106" s="157" t="s">
        <v>145</v>
      </c>
      <c r="AU106" s="157" t="s">
        <v>82</v>
      </c>
      <c r="AV106" s="14" t="s">
        <v>82</v>
      </c>
      <c r="AW106" s="14" t="s">
        <v>34</v>
      </c>
      <c r="AX106" s="14" t="s">
        <v>80</v>
      </c>
      <c r="AY106" s="157" t="s">
        <v>138</v>
      </c>
    </row>
    <row r="107" spans="1:65" s="12" customFormat="1" ht="22.9" customHeight="1">
      <c r="B107" s="124"/>
      <c r="D107" s="125" t="s">
        <v>71</v>
      </c>
      <c r="E107" s="134" t="s">
        <v>265</v>
      </c>
      <c r="F107" s="134" t="s">
        <v>266</v>
      </c>
      <c r="J107" s="135">
        <f>BK107</f>
        <v>0</v>
      </c>
      <c r="L107" s="124"/>
      <c r="M107" s="128"/>
      <c r="N107" s="129"/>
      <c r="O107" s="129"/>
      <c r="P107" s="130">
        <f>SUM(P108:P120)</f>
        <v>19.306760000000001</v>
      </c>
      <c r="Q107" s="129"/>
      <c r="R107" s="130">
        <f>SUM(R108:R120)</f>
        <v>0</v>
      </c>
      <c r="S107" s="129"/>
      <c r="T107" s="131">
        <f>SUM(T108:T120)</f>
        <v>0</v>
      </c>
      <c r="AR107" s="125" t="s">
        <v>80</v>
      </c>
      <c r="AT107" s="132" t="s">
        <v>71</v>
      </c>
      <c r="AU107" s="132" t="s">
        <v>80</v>
      </c>
      <c r="AY107" s="125" t="s">
        <v>138</v>
      </c>
      <c r="BK107" s="133">
        <f>SUM(BK108:BK120)</f>
        <v>0</v>
      </c>
    </row>
    <row r="108" spans="1:65" s="2" customFormat="1" ht="37.9" customHeight="1">
      <c r="A108" s="31"/>
      <c r="B108" s="136"/>
      <c r="C108" s="137">
        <v>5</v>
      </c>
      <c r="D108" s="137" t="s">
        <v>141</v>
      </c>
      <c r="E108" s="138" t="s">
        <v>267</v>
      </c>
      <c r="F108" s="139" t="s">
        <v>268</v>
      </c>
      <c r="G108" s="140" t="s">
        <v>160</v>
      </c>
      <c r="H108" s="141">
        <f>7.26/3*2</f>
        <v>4.84</v>
      </c>
      <c r="I108" s="142"/>
      <c r="J108" s="142">
        <f>ROUND(I108*H108,2)</f>
        <v>0</v>
      </c>
      <c r="K108" s="139" t="s">
        <v>148</v>
      </c>
      <c r="L108" s="32"/>
      <c r="M108" s="143" t="s">
        <v>3</v>
      </c>
      <c r="N108" s="144" t="s">
        <v>43</v>
      </c>
      <c r="O108" s="145">
        <v>2.42</v>
      </c>
      <c r="P108" s="145">
        <f>O108*H108</f>
        <v>11.7128</v>
      </c>
      <c r="Q108" s="145">
        <v>0</v>
      </c>
      <c r="R108" s="145">
        <f>Q108*H108</f>
        <v>0</v>
      </c>
      <c r="S108" s="145">
        <v>0</v>
      </c>
      <c r="T108" s="146">
        <f>S108*H108</f>
        <v>0</v>
      </c>
      <c r="U108" s="31"/>
      <c r="V108" s="31"/>
      <c r="W108" s="31"/>
      <c r="X108" s="31"/>
      <c r="Y108" s="31"/>
      <c r="Z108" s="31"/>
      <c r="AA108" s="31"/>
      <c r="AB108" s="31"/>
      <c r="AC108" s="31"/>
      <c r="AD108" s="31"/>
      <c r="AE108" s="31"/>
      <c r="AR108" s="147" t="s">
        <v>144</v>
      </c>
      <c r="AT108" s="147" t="s">
        <v>141</v>
      </c>
      <c r="AU108" s="147" t="s">
        <v>82</v>
      </c>
      <c r="AY108" s="19" t="s">
        <v>138</v>
      </c>
      <c r="BE108" s="148">
        <f>IF(N108="základní",J108,0)</f>
        <v>0</v>
      </c>
      <c r="BF108" s="148">
        <f>IF(N108="snížená",J108,0)</f>
        <v>0</v>
      </c>
      <c r="BG108" s="148">
        <f>IF(N108="zákl. přenesená",J108,0)</f>
        <v>0</v>
      </c>
      <c r="BH108" s="148">
        <f>IF(N108="sníž. přenesená",J108,0)</f>
        <v>0</v>
      </c>
      <c r="BI108" s="148">
        <f>IF(N108="nulová",J108,0)</f>
        <v>0</v>
      </c>
      <c r="BJ108" s="19" t="s">
        <v>80</v>
      </c>
      <c r="BK108" s="148">
        <f>ROUND(I108*H108,2)</f>
        <v>0</v>
      </c>
      <c r="BL108" s="19" t="s">
        <v>144</v>
      </c>
      <c r="BM108" s="147" t="s">
        <v>845</v>
      </c>
    </row>
    <row r="109" spans="1:65" s="2" customFormat="1" ht="146.25">
      <c r="A109" s="31"/>
      <c r="B109" s="32"/>
      <c r="C109" s="31"/>
      <c r="D109" s="150" t="s">
        <v>149</v>
      </c>
      <c r="E109" s="31"/>
      <c r="F109" s="163" t="s">
        <v>270</v>
      </c>
      <c r="G109" s="31"/>
      <c r="H109" s="31"/>
      <c r="I109" s="31"/>
      <c r="J109" s="31"/>
      <c r="K109" s="31"/>
      <c r="L109" s="32"/>
      <c r="M109" s="164"/>
      <c r="N109" s="165"/>
      <c r="O109" s="52"/>
      <c r="P109" s="52"/>
      <c r="Q109" s="52"/>
      <c r="R109" s="52"/>
      <c r="S109" s="52"/>
      <c r="T109" s="53"/>
      <c r="U109" s="31"/>
      <c r="V109" s="31"/>
      <c r="W109" s="31"/>
      <c r="X109" s="31"/>
      <c r="Y109" s="31"/>
      <c r="Z109" s="31"/>
      <c r="AA109" s="31"/>
      <c r="AB109" s="31"/>
      <c r="AC109" s="31"/>
      <c r="AD109" s="31"/>
      <c r="AE109" s="31"/>
      <c r="AT109" s="19" t="s">
        <v>149</v>
      </c>
      <c r="AU109" s="19" t="s">
        <v>82</v>
      </c>
    </row>
    <row r="110" spans="1:65" s="2" customFormat="1" ht="62.65" customHeight="1">
      <c r="A110" s="31"/>
      <c r="B110" s="136"/>
      <c r="C110" s="137">
        <v>6</v>
      </c>
      <c r="D110" s="137" t="s">
        <v>141</v>
      </c>
      <c r="E110" s="138" t="s">
        <v>271</v>
      </c>
      <c r="F110" s="139" t="s">
        <v>272</v>
      </c>
      <c r="G110" s="140" t="s">
        <v>160</v>
      </c>
      <c r="H110" s="141">
        <f>H112</f>
        <v>24.2</v>
      </c>
      <c r="I110" s="142"/>
      <c r="J110" s="142">
        <f>ROUND(I110*H110,2)</f>
        <v>0</v>
      </c>
      <c r="K110" s="139" t="s">
        <v>148</v>
      </c>
      <c r="L110" s="32"/>
      <c r="M110" s="143" t="s">
        <v>3</v>
      </c>
      <c r="N110" s="144" t="s">
        <v>43</v>
      </c>
      <c r="O110" s="145">
        <v>0.26</v>
      </c>
      <c r="P110" s="145">
        <f>O110*H110</f>
        <v>6.2919999999999998</v>
      </c>
      <c r="Q110" s="145">
        <v>0</v>
      </c>
      <c r="R110" s="145">
        <f>Q110*H110</f>
        <v>0</v>
      </c>
      <c r="S110" s="145">
        <v>0</v>
      </c>
      <c r="T110" s="146">
        <f>S110*H110</f>
        <v>0</v>
      </c>
      <c r="U110" s="31"/>
      <c r="V110" s="31"/>
      <c r="W110" s="31"/>
      <c r="X110" s="31"/>
      <c r="Y110" s="31"/>
      <c r="Z110" s="31"/>
      <c r="AA110" s="31"/>
      <c r="AB110" s="31"/>
      <c r="AC110" s="31"/>
      <c r="AD110" s="31"/>
      <c r="AE110" s="31"/>
      <c r="AR110" s="147" t="s">
        <v>144</v>
      </c>
      <c r="AT110" s="147" t="s">
        <v>141</v>
      </c>
      <c r="AU110" s="147" t="s">
        <v>82</v>
      </c>
      <c r="AY110" s="19" t="s">
        <v>138</v>
      </c>
      <c r="BE110" s="148">
        <f>IF(N110="základní",J110,0)</f>
        <v>0</v>
      </c>
      <c r="BF110" s="148">
        <f>IF(N110="snížená",J110,0)</f>
        <v>0</v>
      </c>
      <c r="BG110" s="148">
        <f>IF(N110="zákl. přenesená",J110,0)</f>
        <v>0</v>
      </c>
      <c r="BH110" s="148">
        <f>IF(N110="sníž. přenesená",J110,0)</f>
        <v>0</v>
      </c>
      <c r="BI110" s="148">
        <f>IF(N110="nulová",J110,0)</f>
        <v>0</v>
      </c>
      <c r="BJ110" s="19" t="s">
        <v>80</v>
      </c>
      <c r="BK110" s="148">
        <f>ROUND(I110*H110,2)</f>
        <v>0</v>
      </c>
      <c r="BL110" s="19" t="s">
        <v>144</v>
      </c>
      <c r="BM110" s="147" t="s">
        <v>846</v>
      </c>
    </row>
    <row r="111" spans="1:65" s="2" customFormat="1" ht="146.25">
      <c r="A111" s="31"/>
      <c r="B111" s="32"/>
      <c r="C111" s="31"/>
      <c r="D111" s="150" t="s">
        <v>149</v>
      </c>
      <c r="E111" s="31"/>
      <c r="F111" s="163" t="s">
        <v>270</v>
      </c>
      <c r="G111" s="31"/>
      <c r="H111" s="31"/>
      <c r="I111" s="31"/>
      <c r="J111" s="31"/>
      <c r="K111" s="31"/>
      <c r="L111" s="32"/>
      <c r="M111" s="164"/>
      <c r="N111" s="165"/>
      <c r="O111" s="52"/>
      <c r="P111" s="52"/>
      <c r="Q111" s="52"/>
      <c r="R111" s="52"/>
      <c r="S111" s="52"/>
      <c r="T111" s="53"/>
      <c r="U111" s="31"/>
      <c r="V111" s="31"/>
      <c r="W111" s="31"/>
      <c r="X111" s="31"/>
      <c r="Y111" s="31"/>
      <c r="Z111" s="31"/>
      <c r="AA111" s="31"/>
      <c r="AB111" s="31"/>
      <c r="AC111" s="31"/>
      <c r="AD111" s="31"/>
      <c r="AE111" s="31"/>
      <c r="AT111" s="19" t="s">
        <v>149</v>
      </c>
      <c r="AU111" s="19" t="s">
        <v>82</v>
      </c>
    </row>
    <row r="112" spans="1:65" s="14" customFormat="1">
      <c r="B112" s="156"/>
      <c r="D112" s="150" t="s">
        <v>145</v>
      </c>
      <c r="F112" s="158" t="s">
        <v>1377</v>
      </c>
      <c r="H112" s="159">
        <f>H108*5</f>
        <v>24.2</v>
      </c>
      <c r="L112" s="156"/>
      <c r="M112" s="160"/>
      <c r="N112" s="161"/>
      <c r="O112" s="161"/>
      <c r="P112" s="161"/>
      <c r="Q112" s="161"/>
      <c r="R112" s="161"/>
      <c r="S112" s="161"/>
      <c r="T112" s="162"/>
      <c r="AT112" s="157" t="s">
        <v>145</v>
      </c>
      <c r="AU112" s="157" t="s">
        <v>82</v>
      </c>
      <c r="AV112" s="14" t="s">
        <v>82</v>
      </c>
      <c r="AW112" s="14" t="s">
        <v>4</v>
      </c>
      <c r="AX112" s="14" t="s">
        <v>80</v>
      </c>
      <c r="AY112" s="157" t="s">
        <v>138</v>
      </c>
    </row>
    <row r="113" spans="1:65" s="2" customFormat="1" ht="24.2" customHeight="1">
      <c r="A113" s="31"/>
      <c r="B113" s="136"/>
      <c r="C113" s="137">
        <v>7</v>
      </c>
      <c r="D113" s="137" t="s">
        <v>141</v>
      </c>
      <c r="E113" s="138" t="s">
        <v>274</v>
      </c>
      <c r="F113" s="139" t="s">
        <v>275</v>
      </c>
      <c r="G113" s="140" t="s">
        <v>160</v>
      </c>
      <c r="H113" s="141">
        <f>H108</f>
        <v>4.84</v>
      </c>
      <c r="I113" s="142"/>
      <c r="J113" s="142">
        <f>ROUND(I113*H113,2)</f>
        <v>0</v>
      </c>
      <c r="K113" s="139" t="s">
        <v>148</v>
      </c>
      <c r="L113" s="32"/>
      <c r="M113" s="143" t="s">
        <v>3</v>
      </c>
      <c r="N113" s="144" t="s">
        <v>43</v>
      </c>
      <c r="O113" s="145">
        <v>0.125</v>
      </c>
      <c r="P113" s="145">
        <f>O113*H113</f>
        <v>0.60499999999999998</v>
      </c>
      <c r="Q113" s="145">
        <v>0</v>
      </c>
      <c r="R113" s="145">
        <f>Q113*H113</f>
        <v>0</v>
      </c>
      <c r="S113" s="145">
        <v>0</v>
      </c>
      <c r="T113" s="146">
        <f>S113*H113</f>
        <v>0</v>
      </c>
      <c r="U113" s="31"/>
      <c r="V113" s="31"/>
      <c r="W113" s="31"/>
      <c r="X113" s="31"/>
      <c r="Y113" s="31"/>
      <c r="Z113" s="31"/>
      <c r="AA113" s="31"/>
      <c r="AB113" s="31"/>
      <c r="AC113" s="31"/>
      <c r="AD113" s="31"/>
      <c r="AE113" s="31"/>
      <c r="AR113" s="147" t="s">
        <v>144</v>
      </c>
      <c r="AT113" s="147" t="s">
        <v>141</v>
      </c>
      <c r="AU113" s="147" t="s">
        <v>82</v>
      </c>
      <c r="AY113" s="19" t="s">
        <v>138</v>
      </c>
      <c r="BE113" s="148">
        <f>IF(N113="základní",J113,0)</f>
        <v>0</v>
      </c>
      <c r="BF113" s="148">
        <f>IF(N113="snížená",J113,0)</f>
        <v>0</v>
      </c>
      <c r="BG113" s="148">
        <f>IF(N113="zákl. přenesená",J113,0)</f>
        <v>0</v>
      </c>
      <c r="BH113" s="148">
        <f>IF(N113="sníž. přenesená",J113,0)</f>
        <v>0</v>
      </c>
      <c r="BI113" s="148">
        <f>IF(N113="nulová",J113,0)</f>
        <v>0</v>
      </c>
      <c r="BJ113" s="19" t="s">
        <v>80</v>
      </c>
      <c r="BK113" s="148">
        <f>ROUND(I113*H113,2)</f>
        <v>0</v>
      </c>
      <c r="BL113" s="19" t="s">
        <v>144</v>
      </c>
      <c r="BM113" s="147" t="s">
        <v>847</v>
      </c>
    </row>
    <row r="114" spans="1:65" s="2" customFormat="1" ht="87.75">
      <c r="A114" s="31"/>
      <c r="B114" s="32"/>
      <c r="C114" s="31"/>
      <c r="D114" s="150" t="s">
        <v>149</v>
      </c>
      <c r="E114" s="31"/>
      <c r="F114" s="163" t="s">
        <v>277</v>
      </c>
      <c r="G114" s="31"/>
      <c r="H114" s="31"/>
      <c r="I114" s="31"/>
      <c r="J114" s="31"/>
      <c r="K114" s="31"/>
      <c r="L114" s="32"/>
      <c r="M114" s="164"/>
      <c r="N114" s="165"/>
      <c r="O114" s="52"/>
      <c r="P114" s="52"/>
      <c r="Q114" s="52"/>
      <c r="R114" s="52"/>
      <c r="S114" s="52"/>
      <c r="T114" s="53"/>
      <c r="U114" s="31"/>
      <c r="V114" s="31"/>
      <c r="W114" s="31"/>
      <c r="X114" s="31"/>
      <c r="Y114" s="31"/>
      <c r="Z114" s="31"/>
      <c r="AA114" s="31"/>
      <c r="AB114" s="31"/>
      <c r="AC114" s="31"/>
      <c r="AD114" s="31"/>
      <c r="AE114" s="31"/>
      <c r="AT114" s="19" t="s">
        <v>149</v>
      </c>
      <c r="AU114" s="19" t="s">
        <v>82</v>
      </c>
    </row>
    <row r="115" spans="1:65" s="2" customFormat="1" ht="37.9" customHeight="1">
      <c r="A115" s="31"/>
      <c r="B115" s="136"/>
      <c r="C115" s="137">
        <v>8</v>
      </c>
      <c r="D115" s="137" t="s">
        <v>141</v>
      </c>
      <c r="E115" s="138" t="s">
        <v>278</v>
      </c>
      <c r="F115" s="139" t="s">
        <v>279</v>
      </c>
      <c r="G115" s="140" t="s">
        <v>160</v>
      </c>
      <c r="H115" s="141">
        <f>H117</f>
        <v>116.16</v>
      </c>
      <c r="I115" s="142"/>
      <c r="J115" s="142">
        <f>ROUND(I115*H115,2)</f>
        <v>0</v>
      </c>
      <c r="K115" s="139" t="s">
        <v>148</v>
      </c>
      <c r="L115" s="32"/>
      <c r="M115" s="143" t="s">
        <v>3</v>
      </c>
      <c r="N115" s="144" t="s">
        <v>43</v>
      </c>
      <c r="O115" s="145">
        <v>6.0000000000000001E-3</v>
      </c>
      <c r="P115" s="145">
        <f>O115*H115</f>
        <v>0.69696000000000002</v>
      </c>
      <c r="Q115" s="145">
        <v>0</v>
      </c>
      <c r="R115" s="145">
        <f>Q115*H115</f>
        <v>0</v>
      </c>
      <c r="S115" s="145">
        <v>0</v>
      </c>
      <c r="T115" s="146">
        <f>S115*H115</f>
        <v>0</v>
      </c>
      <c r="U115" s="31"/>
      <c r="V115" s="31"/>
      <c r="W115" s="31"/>
      <c r="X115" s="31"/>
      <c r="Y115" s="31"/>
      <c r="Z115" s="31"/>
      <c r="AA115" s="31"/>
      <c r="AB115" s="31"/>
      <c r="AC115" s="31"/>
      <c r="AD115" s="31"/>
      <c r="AE115" s="31"/>
      <c r="AR115" s="147" t="s">
        <v>144</v>
      </c>
      <c r="AT115" s="147" t="s">
        <v>141</v>
      </c>
      <c r="AU115" s="147" t="s">
        <v>82</v>
      </c>
      <c r="AY115" s="19" t="s">
        <v>138</v>
      </c>
      <c r="BE115" s="148">
        <f>IF(N115="základní",J115,0)</f>
        <v>0</v>
      </c>
      <c r="BF115" s="148">
        <f>IF(N115="snížená",J115,0)</f>
        <v>0</v>
      </c>
      <c r="BG115" s="148">
        <f>IF(N115="zákl. přenesená",J115,0)</f>
        <v>0</v>
      </c>
      <c r="BH115" s="148">
        <f>IF(N115="sníž. přenesená",J115,0)</f>
        <v>0</v>
      </c>
      <c r="BI115" s="148">
        <f>IF(N115="nulová",J115,0)</f>
        <v>0</v>
      </c>
      <c r="BJ115" s="19" t="s">
        <v>80</v>
      </c>
      <c r="BK115" s="148">
        <f>ROUND(I115*H115,2)</f>
        <v>0</v>
      </c>
      <c r="BL115" s="19" t="s">
        <v>144</v>
      </c>
      <c r="BM115" s="147" t="s">
        <v>848</v>
      </c>
    </row>
    <row r="116" spans="1:65" s="2" customFormat="1" ht="87.75">
      <c r="A116" s="31"/>
      <c r="B116" s="32"/>
      <c r="C116" s="31"/>
      <c r="D116" s="150" t="s">
        <v>149</v>
      </c>
      <c r="E116" s="31"/>
      <c r="F116" s="163" t="s">
        <v>277</v>
      </c>
      <c r="G116" s="31"/>
      <c r="H116" s="31"/>
      <c r="I116" s="31"/>
      <c r="J116" s="31"/>
      <c r="K116" s="31"/>
      <c r="L116" s="32"/>
      <c r="M116" s="164"/>
      <c r="N116" s="165"/>
      <c r="O116" s="52"/>
      <c r="P116" s="52"/>
      <c r="Q116" s="52"/>
      <c r="R116" s="52"/>
      <c r="S116" s="52"/>
      <c r="T116" s="53"/>
      <c r="U116" s="31"/>
      <c r="V116" s="31"/>
      <c r="W116" s="31"/>
      <c r="X116" s="31"/>
      <c r="Y116" s="31"/>
      <c r="Z116" s="31"/>
      <c r="AA116" s="31"/>
      <c r="AB116" s="31"/>
      <c r="AC116" s="31"/>
      <c r="AD116" s="31"/>
      <c r="AE116" s="31"/>
      <c r="AT116" s="19" t="s">
        <v>149</v>
      </c>
      <c r="AU116" s="19" t="s">
        <v>82</v>
      </c>
    </row>
    <row r="117" spans="1:65" s="14" customFormat="1">
      <c r="B117" s="156"/>
      <c r="D117" s="150" t="s">
        <v>145</v>
      </c>
      <c r="F117" s="158" t="s">
        <v>1378</v>
      </c>
      <c r="H117" s="159">
        <f>H108*24</f>
        <v>116.16</v>
      </c>
      <c r="L117" s="156"/>
      <c r="M117" s="160"/>
      <c r="N117" s="161"/>
      <c r="O117" s="161"/>
      <c r="P117" s="161"/>
      <c r="Q117" s="161"/>
      <c r="R117" s="161"/>
      <c r="S117" s="161"/>
      <c r="T117" s="162"/>
      <c r="AT117" s="157" t="s">
        <v>145</v>
      </c>
      <c r="AU117" s="157" t="s">
        <v>82</v>
      </c>
      <c r="AV117" s="14" t="s">
        <v>82</v>
      </c>
      <c r="AW117" s="14" t="s">
        <v>4</v>
      </c>
      <c r="AX117" s="14" t="s">
        <v>80</v>
      </c>
      <c r="AY117" s="157" t="s">
        <v>138</v>
      </c>
    </row>
    <row r="118" spans="1:65" s="2" customFormat="1" ht="37.9" customHeight="1">
      <c r="A118" s="31"/>
      <c r="B118" s="136"/>
      <c r="C118" s="137">
        <v>9</v>
      </c>
      <c r="D118" s="137" t="s">
        <v>141</v>
      </c>
      <c r="E118" s="138" t="s">
        <v>281</v>
      </c>
      <c r="F118" s="139" t="s">
        <v>282</v>
      </c>
      <c r="G118" s="140" t="s">
        <v>160</v>
      </c>
      <c r="H118" s="141">
        <f>H113</f>
        <v>4.84</v>
      </c>
      <c r="I118" s="142"/>
      <c r="J118" s="142">
        <f>ROUND(I118*H118,2)</f>
        <v>0</v>
      </c>
      <c r="K118" s="139" t="s">
        <v>148</v>
      </c>
      <c r="L118" s="32"/>
      <c r="M118" s="143" t="s">
        <v>3</v>
      </c>
      <c r="N118" s="144" t="s">
        <v>43</v>
      </c>
      <c r="O118" s="145">
        <v>0</v>
      </c>
      <c r="P118" s="145">
        <f>O118*H118</f>
        <v>0</v>
      </c>
      <c r="Q118" s="145">
        <v>0</v>
      </c>
      <c r="R118" s="145">
        <f>Q118*H118</f>
        <v>0</v>
      </c>
      <c r="S118" s="145">
        <v>0</v>
      </c>
      <c r="T118" s="146">
        <f>S118*H118</f>
        <v>0</v>
      </c>
      <c r="U118" s="31"/>
      <c r="V118" s="31"/>
      <c r="W118" s="31"/>
      <c r="X118" s="31"/>
      <c r="Y118" s="31"/>
      <c r="Z118" s="31"/>
      <c r="AA118" s="31"/>
      <c r="AB118" s="31"/>
      <c r="AC118" s="31"/>
      <c r="AD118" s="31"/>
      <c r="AE118" s="31"/>
      <c r="AR118" s="147" t="s">
        <v>144</v>
      </c>
      <c r="AT118" s="147" t="s">
        <v>141</v>
      </c>
      <c r="AU118" s="147" t="s">
        <v>82</v>
      </c>
      <c r="AY118" s="19" t="s">
        <v>138</v>
      </c>
      <c r="BE118" s="148">
        <f>IF(N118="základní",J118,0)</f>
        <v>0</v>
      </c>
      <c r="BF118" s="148">
        <f>IF(N118="snížená",J118,0)</f>
        <v>0</v>
      </c>
      <c r="BG118" s="148">
        <f>IF(N118="zákl. přenesená",J118,0)</f>
        <v>0</v>
      </c>
      <c r="BH118" s="148">
        <f>IF(N118="sníž. přenesená",J118,0)</f>
        <v>0</v>
      </c>
      <c r="BI118" s="148">
        <f>IF(N118="nulová",J118,0)</f>
        <v>0</v>
      </c>
      <c r="BJ118" s="19" t="s">
        <v>80</v>
      </c>
      <c r="BK118" s="148">
        <f>ROUND(I118*H118,2)</f>
        <v>0</v>
      </c>
      <c r="BL118" s="19" t="s">
        <v>144</v>
      </c>
      <c r="BM118" s="147" t="s">
        <v>849</v>
      </c>
    </row>
    <row r="119" spans="1:65" s="2" customFormat="1" ht="97.5">
      <c r="A119" s="31"/>
      <c r="B119" s="32"/>
      <c r="C119" s="31"/>
      <c r="D119" s="150" t="s">
        <v>149</v>
      </c>
      <c r="E119" s="31"/>
      <c r="F119" s="163" t="s">
        <v>284</v>
      </c>
      <c r="G119" s="31"/>
      <c r="H119" s="31"/>
      <c r="I119" s="31"/>
      <c r="J119" s="31"/>
      <c r="K119" s="31"/>
      <c r="L119" s="32"/>
      <c r="M119" s="164"/>
      <c r="N119" s="165"/>
      <c r="O119" s="52"/>
      <c r="P119" s="52"/>
      <c r="Q119" s="52"/>
      <c r="R119" s="52"/>
      <c r="S119" s="52"/>
      <c r="T119" s="53"/>
      <c r="U119" s="31"/>
      <c r="V119" s="31"/>
      <c r="W119" s="31"/>
      <c r="X119" s="31"/>
      <c r="Y119" s="31"/>
      <c r="Z119" s="31"/>
      <c r="AA119" s="31"/>
      <c r="AB119" s="31"/>
      <c r="AC119" s="31"/>
      <c r="AD119" s="31"/>
      <c r="AE119" s="31"/>
      <c r="AT119" s="19" t="s">
        <v>149</v>
      </c>
      <c r="AU119" s="19" t="s">
        <v>82</v>
      </c>
    </row>
    <row r="120" spans="1:65" s="2" customFormat="1" ht="24.2" customHeight="1">
      <c r="A120" s="31"/>
      <c r="B120" s="136"/>
      <c r="C120" s="137">
        <v>10</v>
      </c>
      <c r="D120" s="137" t="s">
        <v>141</v>
      </c>
      <c r="E120" s="138" t="s">
        <v>576</v>
      </c>
      <c r="F120" s="139" t="s">
        <v>577</v>
      </c>
      <c r="G120" s="140" t="s">
        <v>578</v>
      </c>
      <c r="H120" s="141">
        <v>1</v>
      </c>
      <c r="I120" s="142"/>
      <c r="J120" s="142">
        <f>ROUND(I120*H120,2)</f>
        <v>0</v>
      </c>
      <c r="K120" s="139" t="s">
        <v>143</v>
      </c>
      <c r="L120" s="32"/>
      <c r="M120" s="143" t="s">
        <v>3</v>
      </c>
      <c r="N120" s="144" t="s">
        <v>43</v>
      </c>
      <c r="O120" s="145">
        <v>0</v>
      </c>
      <c r="P120" s="145">
        <f>O120*H120</f>
        <v>0</v>
      </c>
      <c r="Q120" s="145">
        <v>0</v>
      </c>
      <c r="R120" s="145">
        <f>Q120*H120</f>
        <v>0</v>
      </c>
      <c r="S120" s="145">
        <v>0</v>
      </c>
      <c r="T120" s="146">
        <f>S120*H120</f>
        <v>0</v>
      </c>
      <c r="U120" s="31"/>
      <c r="V120" s="31"/>
      <c r="W120" s="31"/>
      <c r="X120" s="31"/>
      <c r="Y120" s="31"/>
      <c r="Z120" s="31"/>
      <c r="AA120" s="31"/>
      <c r="AB120" s="31"/>
      <c r="AC120" s="31"/>
      <c r="AD120" s="31"/>
      <c r="AE120" s="31"/>
      <c r="AR120" s="147" t="s">
        <v>144</v>
      </c>
      <c r="AT120" s="147" t="s">
        <v>141</v>
      </c>
      <c r="AU120" s="147" t="s">
        <v>82</v>
      </c>
      <c r="AY120" s="19" t="s">
        <v>138</v>
      </c>
      <c r="BE120" s="148">
        <f>IF(N120="základní",J120,0)</f>
        <v>0</v>
      </c>
      <c r="BF120" s="148">
        <f>IF(N120="snížená",J120,0)</f>
        <v>0</v>
      </c>
      <c r="BG120" s="148">
        <f>IF(N120="zákl. přenesená",J120,0)</f>
        <v>0</v>
      </c>
      <c r="BH120" s="148">
        <f>IF(N120="sníž. přenesená",J120,0)</f>
        <v>0</v>
      </c>
      <c r="BI120" s="148">
        <f>IF(N120="nulová",J120,0)</f>
        <v>0</v>
      </c>
      <c r="BJ120" s="19" t="s">
        <v>80</v>
      </c>
      <c r="BK120" s="148">
        <f>ROUND(I120*H120,2)</f>
        <v>0</v>
      </c>
      <c r="BL120" s="19" t="s">
        <v>144</v>
      </c>
      <c r="BM120" s="147" t="s">
        <v>850</v>
      </c>
    </row>
    <row r="121" spans="1:65" s="12" customFormat="1" ht="22.9" customHeight="1">
      <c r="B121" s="124"/>
      <c r="D121" s="125" t="s">
        <v>71</v>
      </c>
      <c r="E121" s="134" t="s">
        <v>285</v>
      </c>
      <c r="F121" s="134" t="s">
        <v>286</v>
      </c>
      <c r="J121" s="135">
        <f>BK121</f>
        <v>0</v>
      </c>
      <c r="L121" s="124"/>
      <c r="M121" s="128"/>
      <c r="N121" s="129"/>
      <c r="O121" s="129"/>
      <c r="P121" s="130">
        <f>SUM(P122:P123)</f>
        <v>15.049000000000001</v>
      </c>
      <c r="Q121" s="129"/>
      <c r="R121" s="130">
        <f>SUM(R122:R123)</f>
        <v>0</v>
      </c>
      <c r="S121" s="129"/>
      <c r="T121" s="131">
        <f>SUM(T122:T123)</f>
        <v>0</v>
      </c>
      <c r="AR121" s="125" t="s">
        <v>80</v>
      </c>
      <c r="AT121" s="132" t="s">
        <v>71</v>
      </c>
      <c r="AU121" s="132" t="s">
        <v>80</v>
      </c>
      <c r="AY121" s="125" t="s">
        <v>138</v>
      </c>
      <c r="BK121" s="133">
        <f>SUM(BK122:BK123)</f>
        <v>0</v>
      </c>
    </row>
    <row r="122" spans="1:65" s="2" customFormat="1" ht="49.15" customHeight="1">
      <c r="A122" s="31"/>
      <c r="B122" s="136"/>
      <c r="C122" s="137">
        <v>11</v>
      </c>
      <c r="D122" s="137" t="s">
        <v>141</v>
      </c>
      <c r="E122" s="138" t="s">
        <v>287</v>
      </c>
      <c r="F122" s="139" t="s">
        <v>288</v>
      </c>
      <c r="G122" s="140" t="s">
        <v>160</v>
      </c>
      <c r="H122" s="141">
        <v>3.7250000000000001</v>
      </c>
      <c r="I122" s="142"/>
      <c r="J122" s="142">
        <f>ROUND(I122*H122,2)</f>
        <v>0</v>
      </c>
      <c r="K122" s="139" t="s">
        <v>148</v>
      </c>
      <c r="L122" s="32"/>
      <c r="M122" s="143" t="s">
        <v>3</v>
      </c>
      <c r="N122" s="144" t="s">
        <v>43</v>
      </c>
      <c r="O122" s="145">
        <v>4.04</v>
      </c>
      <c r="P122" s="145">
        <f>O122*H122</f>
        <v>15.049000000000001</v>
      </c>
      <c r="Q122" s="145">
        <v>0</v>
      </c>
      <c r="R122" s="145">
        <f>Q122*H122</f>
        <v>0</v>
      </c>
      <c r="S122" s="145">
        <v>0</v>
      </c>
      <c r="T122" s="146">
        <f>S122*H122</f>
        <v>0</v>
      </c>
      <c r="U122" s="31"/>
      <c r="V122" s="31"/>
      <c r="W122" s="31"/>
      <c r="X122" s="31"/>
      <c r="Y122" s="31"/>
      <c r="Z122" s="31"/>
      <c r="AA122" s="31"/>
      <c r="AB122" s="31"/>
      <c r="AC122" s="31"/>
      <c r="AD122" s="31"/>
      <c r="AE122" s="31"/>
      <c r="AR122" s="147" t="s">
        <v>144</v>
      </c>
      <c r="AT122" s="147" t="s">
        <v>141</v>
      </c>
      <c r="AU122" s="147" t="s">
        <v>82</v>
      </c>
      <c r="AY122" s="19" t="s">
        <v>138</v>
      </c>
      <c r="BE122" s="148">
        <f>IF(N122="základní",J122,0)</f>
        <v>0</v>
      </c>
      <c r="BF122" s="148">
        <f>IF(N122="snížená",J122,0)</f>
        <v>0</v>
      </c>
      <c r="BG122" s="148">
        <f>IF(N122="zákl. přenesená",J122,0)</f>
        <v>0</v>
      </c>
      <c r="BH122" s="148">
        <f>IF(N122="sníž. přenesená",J122,0)</f>
        <v>0</v>
      </c>
      <c r="BI122" s="148">
        <f>IF(N122="nulová",J122,0)</f>
        <v>0</v>
      </c>
      <c r="BJ122" s="19" t="s">
        <v>80</v>
      </c>
      <c r="BK122" s="148">
        <f>ROUND(I122*H122,2)</f>
        <v>0</v>
      </c>
      <c r="BL122" s="19" t="s">
        <v>144</v>
      </c>
      <c r="BM122" s="147" t="s">
        <v>851</v>
      </c>
    </row>
    <row r="123" spans="1:65" s="2" customFormat="1" ht="87.75">
      <c r="A123" s="31"/>
      <c r="B123" s="32"/>
      <c r="C123" s="31"/>
      <c r="D123" s="150" t="s">
        <v>149</v>
      </c>
      <c r="E123" s="31"/>
      <c r="F123" s="163" t="s">
        <v>290</v>
      </c>
      <c r="G123" s="31"/>
      <c r="H123" s="31"/>
      <c r="I123" s="31"/>
      <c r="J123" s="31"/>
      <c r="K123" s="31"/>
      <c r="L123" s="32"/>
      <c r="M123" s="164"/>
      <c r="N123" s="165"/>
      <c r="O123" s="52"/>
      <c r="P123" s="52"/>
      <c r="Q123" s="52"/>
      <c r="R123" s="52"/>
      <c r="S123" s="52"/>
      <c r="T123" s="53"/>
      <c r="U123" s="31"/>
      <c r="V123" s="31"/>
      <c r="W123" s="31"/>
      <c r="X123" s="31"/>
      <c r="Y123" s="31"/>
      <c r="Z123" s="31"/>
      <c r="AA123" s="31"/>
      <c r="AB123" s="31"/>
      <c r="AC123" s="31"/>
      <c r="AD123" s="31"/>
      <c r="AE123" s="31"/>
      <c r="AT123" s="19" t="s">
        <v>149</v>
      </c>
      <c r="AU123" s="19" t="s">
        <v>82</v>
      </c>
    </row>
    <row r="124" spans="1:65" s="12" customFormat="1" ht="25.9" customHeight="1">
      <c r="B124" s="124"/>
      <c r="D124" s="125" t="s">
        <v>71</v>
      </c>
      <c r="E124" s="126" t="s">
        <v>291</v>
      </c>
      <c r="F124" s="126" t="s">
        <v>292</v>
      </c>
      <c r="J124" s="127">
        <f>BK124</f>
        <v>0</v>
      </c>
      <c r="L124" s="124"/>
      <c r="M124" s="128"/>
      <c r="N124" s="129"/>
      <c r="O124" s="129"/>
      <c r="P124" s="130">
        <f>P125+P217</f>
        <v>276.78300000000002</v>
      </c>
      <c r="Q124" s="129"/>
      <c r="R124" s="130">
        <f>R125+R217</f>
        <v>0.32301399999999997</v>
      </c>
      <c r="S124" s="129"/>
      <c r="T124" s="131">
        <f>T125+T217</f>
        <v>0</v>
      </c>
      <c r="AR124" s="125" t="s">
        <v>82</v>
      </c>
      <c r="AT124" s="132" t="s">
        <v>71</v>
      </c>
      <c r="AU124" s="132" t="s">
        <v>72</v>
      </c>
      <c r="AY124" s="125" t="s">
        <v>138</v>
      </c>
      <c r="BK124" s="133">
        <f>BK125+BK217</f>
        <v>0</v>
      </c>
    </row>
    <row r="125" spans="1:65" s="12" customFormat="1" ht="22.9" customHeight="1">
      <c r="B125" s="124"/>
      <c r="D125" s="125" t="s">
        <v>71</v>
      </c>
      <c r="E125" s="134" t="s">
        <v>852</v>
      </c>
      <c r="F125" s="134" t="s">
        <v>853</v>
      </c>
      <c r="J125" s="135">
        <f>BK125</f>
        <v>0</v>
      </c>
      <c r="L125" s="124"/>
      <c r="M125" s="128"/>
      <c r="N125" s="129"/>
      <c r="O125" s="129"/>
      <c r="P125" s="130">
        <f>SUM(P126:P216)</f>
        <v>267.517</v>
      </c>
      <c r="Q125" s="129"/>
      <c r="R125" s="130">
        <f>SUM(R126:R216)</f>
        <v>0.30332199999999998</v>
      </c>
      <c r="S125" s="129"/>
      <c r="T125" s="131">
        <f>SUM(T126:T216)</f>
        <v>0</v>
      </c>
      <c r="AR125" s="125" t="s">
        <v>82</v>
      </c>
      <c r="AT125" s="132" t="s">
        <v>71</v>
      </c>
      <c r="AU125" s="132" t="s">
        <v>80</v>
      </c>
      <c r="AY125" s="125" t="s">
        <v>138</v>
      </c>
      <c r="BK125" s="133">
        <f>SUM(BK126:BK216)</f>
        <v>0</v>
      </c>
    </row>
    <row r="126" spans="1:65" s="2" customFormat="1" ht="37.9" customHeight="1">
      <c r="A126" s="31"/>
      <c r="B126" s="136"/>
      <c r="C126" s="137">
        <v>12</v>
      </c>
      <c r="D126" s="137" t="s">
        <v>141</v>
      </c>
      <c r="E126" s="138" t="s">
        <v>854</v>
      </c>
      <c r="F126" s="139" t="s">
        <v>855</v>
      </c>
      <c r="G126" s="140" t="s">
        <v>187</v>
      </c>
      <c r="H126" s="141">
        <f>H128</f>
        <v>24</v>
      </c>
      <c r="I126" s="142"/>
      <c r="J126" s="142">
        <f>ROUND(I126*H126,2)</f>
        <v>0</v>
      </c>
      <c r="K126" s="139" t="s">
        <v>148</v>
      </c>
      <c r="L126" s="32"/>
      <c r="M126" s="143" t="s">
        <v>3</v>
      </c>
      <c r="N126" s="144" t="s">
        <v>43</v>
      </c>
      <c r="O126" s="145">
        <v>9.4E-2</v>
      </c>
      <c r="P126" s="145">
        <f>O126*H126</f>
        <v>2.2560000000000002</v>
      </c>
      <c r="Q126" s="145">
        <v>0</v>
      </c>
      <c r="R126" s="145">
        <f>Q126*H126</f>
        <v>0</v>
      </c>
      <c r="S126" s="145">
        <v>0</v>
      </c>
      <c r="T126" s="146">
        <f>S126*H126</f>
        <v>0</v>
      </c>
      <c r="U126" s="31"/>
      <c r="V126" s="31"/>
      <c r="W126" s="31"/>
      <c r="X126" s="31"/>
      <c r="Y126" s="31"/>
      <c r="Z126" s="31"/>
      <c r="AA126" s="31"/>
      <c r="AB126" s="31"/>
      <c r="AC126" s="31"/>
      <c r="AD126" s="31"/>
      <c r="AE126" s="31"/>
      <c r="AR126" s="147" t="s">
        <v>200</v>
      </c>
      <c r="AT126" s="147" t="s">
        <v>141</v>
      </c>
      <c r="AU126" s="147" t="s">
        <v>82</v>
      </c>
      <c r="AY126" s="19" t="s">
        <v>138</v>
      </c>
      <c r="BE126" s="148">
        <f>IF(N126="základní",J126,0)</f>
        <v>0</v>
      </c>
      <c r="BF126" s="148">
        <f>IF(N126="snížená",J126,0)</f>
        <v>0</v>
      </c>
      <c r="BG126" s="148">
        <f>IF(N126="zákl. přenesená",J126,0)</f>
        <v>0</v>
      </c>
      <c r="BH126" s="148">
        <f>IF(N126="sníž. přenesená",J126,0)</f>
        <v>0</v>
      </c>
      <c r="BI126" s="148">
        <f>IF(N126="nulová",J126,0)</f>
        <v>0</v>
      </c>
      <c r="BJ126" s="19" t="s">
        <v>80</v>
      </c>
      <c r="BK126" s="148">
        <f>ROUND(I126*H126,2)</f>
        <v>0</v>
      </c>
      <c r="BL126" s="19" t="s">
        <v>200</v>
      </c>
      <c r="BM126" s="147" t="s">
        <v>856</v>
      </c>
    </row>
    <row r="127" spans="1:65" s="13" customFormat="1">
      <c r="B127" s="149"/>
      <c r="D127" s="150" t="s">
        <v>145</v>
      </c>
      <c r="E127" s="151" t="s">
        <v>3</v>
      </c>
      <c r="F127" s="152" t="s">
        <v>837</v>
      </c>
      <c r="H127" s="151" t="s">
        <v>3</v>
      </c>
      <c r="L127" s="149"/>
      <c r="M127" s="153"/>
      <c r="N127" s="154"/>
      <c r="O127" s="154"/>
      <c r="P127" s="154"/>
      <c r="Q127" s="154"/>
      <c r="R127" s="154"/>
      <c r="S127" s="154"/>
      <c r="T127" s="155"/>
      <c r="AT127" s="151" t="s">
        <v>145</v>
      </c>
      <c r="AU127" s="151" t="s">
        <v>82</v>
      </c>
      <c r="AV127" s="13" t="s">
        <v>80</v>
      </c>
      <c r="AW127" s="13" t="s">
        <v>34</v>
      </c>
      <c r="AX127" s="13" t="s">
        <v>72</v>
      </c>
      <c r="AY127" s="151" t="s">
        <v>138</v>
      </c>
    </row>
    <row r="128" spans="1:65" s="14" customFormat="1">
      <c r="B128" s="156"/>
      <c r="D128" s="150" t="s">
        <v>145</v>
      </c>
      <c r="E128" s="157" t="s">
        <v>3</v>
      </c>
      <c r="F128" s="158">
        <v>24</v>
      </c>
      <c r="H128" s="159">
        <v>24</v>
      </c>
      <c r="L128" s="156"/>
      <c r="M128" s="160"/>
      <c r="N128" s="161"/>
      <c r="O128" s="161"/>
      <c r="P128" s="161"/>
      <c r="Q128" s="161"/>
      <c r="R128" s="161"/>
      <c r="S128" s="161"/>
      <c r="T128" s="162"/>
      <c r="AT128" s="157" t="s">
        <v>145</v>
      </c>
      <c r="AU128" s="157" t="s">
        <v>82</v>
      </c>
      <c r="AV128" s="14" t="s">
        <v>82</v>
      </c>
      <c r="AW128" s="14" t="s">
        <v>34</v>
      </c>
      <c r="AX128" s="14" t="s">
        <v>80</v>
      </c>
      <c r="AY128" s="157" t="s">
        <v>138</v>
      </c>
    </row>
    <row r="129" spans="1:65" s="2" customFormat="1" ht="14.45" customHeight="1">
      <c r="A129" s="31"/>
      <c r="B129" s="136"/>
      <c r="C129" s="173">
        <v>13</v>
      </c>
      <c r="D129" s="173" t="s">
        <v>164</v>
      </c>
      <c r="E129" s="174" t="s">
        <v>857</v>
      </c>
      <c r="F129" s="175" t="s">
        <v>858</v>
      </c>
      <c r="G129" s="176" t="s">
        <v>187</v>
      </c>
      <c r="H129" s="177">
        <f>H130</f>
        <v>26.400000000000002</v>
      </c>
      <c r="I129" s="178"/>
      <c r="J129" s="178">
        <f>ROUND(I129*H129,2)</f>
        <v>0</v>
      </c>
      <c r="K129" s="175" t="s">
        <v>148</v>
      </c>
      <c r="L129" s="179"/>
      <c r="M129" s="180" t="s">
        <v>3</v>
      </c>
      <c r="N129" s="181" t="s">
        <v>43</v>
      </c>
      <c r="O129" s="145">
        <v>0</v>
      </c>
      <c r="P129" s="145">
        <f>O129*H129</f>
        <v>0</v>
      </c>
      <c r="Q129" s="145">
        <v>6.9999999999999994E-5</v>
      </c>
      <c r="R129" s="145">
        <f>Q129*H129</f>
        <v>1.848E-3</v>
      </c>
      <c r="S129" s="145">
        <v>0</v>
      </c>
      <c r="T129" s="146">
        <f>S129*H129</f>
        <v>0</v>
      </c>
      <c r="U129" s="31"/>
      <c r="V129" s="31"/>
      <c r="W129" s="31"/>
      <c r="X129" s="31"/>
      <c r="Y129" s="31"/>
      <c r="Z129" s="31"/>
      <c r="AA129" s="31"/>
      <c r="AB129" s="31"/>
      <c r="AC129" s="31"/>
      <c r="AD129" s="31"/>
      <c r="AE129" s="31"/>
      <c r="AR129" s="147" t="s">
        <v>224</v>
      </c>
      <c r="AT129" s="147" t="s">
        <v>164</v>
      </c>
      <c r="AU129" s="147" t="s">
        <v>82</v>
      </c>
      <c r="AY129" s="19" t="s">
        <v>138</v>
      </c>
      <c r="BE129" s="148">
        <f>IF(N129="základní",J129,0)</f>
        <v>0</v>
      </c>
      <c r="BF129" s="148">
        <f>IF(N129="snížená",J129,0)</f>
        <v>0</v>
      </c>
      <c r="BG129" s="148">
        <f>IF(N129="zákl. přenesená",J129,0)</f>
        <v>0</v>
      </c>
      <c r="BH129" s="148">
        <f>IF(N129="sníž. přenesená",J129,0)</f>
        <v>0</v>
      </c>
      <c r="BI129" s="148">
        <f>IF(N129="nulová",J129,0)</f>
        <v>0</v>
      </c>
      <c r="BJ129" s="19" t="s">
        <v>80</v>
      </c>
      <c r="BK129" s="148">
        <f>ROUND(I129*H129,2)</f>
        <v>0</v>
      </c>
      <c r="BL129" s="19" t="s">
        <v>200</v>
      </c>
      <c r="BM129" s="147" t="s">
        <v>859</v>
      </c>
    </row>
    <row r="130" spans="1:65" s="14" customFormat="1">
      <c r="B130" s="156"/>
      <c r="D130" s="150" t="s">
        <v>145</v>
      </c>
      <c r="F130" s="158" t="s">
        <v>1379</v>
      </c>
      <c r="H130" s="159">
        <f>H126*1.1</f>
        <v>26.400000000000002</v>
      </c>
      <c r="L130" s="156"/>
      <c r="M130" s="160"/>
      <c r="N130" s="161"/>
      <c r="O130" s="161"/>
      <c r="P130" s="161"/>
      <c r="Q130" s="161"/>
      <c r="R130" s="161"/>
      <c r="S130" s="161"/>
      <c r="T130" s="162"/>
      <c r="AT130" s="157" t="s">
        <v>145</v>
      </c>
      <c r="AU130" s="157" t="s">
        <v>82</v>
      </c>
      <c r="AV130" s="14" t="s">
        <v>82</v>
      </c>
      <c r="AW130" s="14" t="s">
        <v>4</v>
      </c>
      <c r="AX130" s="14" t="s">
        <v>80</v>
      </c>
      <c r="AY130" s="157" t="s">
        <v>138</v>
      </c>
    </row>
    <row r="131" spans="1:65" s="2" customFormat="1" ht="49.15" customHeight="1">
      <c r="A131" s="31"/>
      <c r="B131" s="136"/>
      <c r="C131" s="137">
        <v>14</v>
      </c>
      <c r="D131" s="137" t="s">
        <v>141</v>
      </c>
      <c r="E131" s="138" t="s">
        <v>860</v>
      </c>
      <c r="F131" s="139" t="s">
        <v>861</v>
      </c>
      <c r="G131" s="140" t="s">
        <v>147</v>
      </c>
      <c r="H131" s="141">
        <f>H133</f>
        <v>52</v>
      </c>
      <c r="I131" s="142"/>
      <c r="J131" s="142">
        <f>ROUND(I131*H131,2)</f>
        <v>0</v>
      </c>
      <c r="K131" s="139" t="s">
        <v>148</v>
      </c>
      <c r="L131" s="32"/>
      <c r="M131" s="143" t="s">
        <v>3</v>
      </c>
      <c r="N131" s="144" t="s">
        <v>43</v>
      </c>
      <c r="O131" s="145">
        <v>0.2</v>
      </c>
      <c r="P131" s="145">
        <f>O131*H131</f>
        <v>10.4</v>
      </c>
      <c r="Q131" s="145">
        <v>0</v>
      </c>
      <c r="R131" s="145">
        <f>Q131*H131</f>
        <v>0</v>
      </c>
      <c r="S131" s="145">
        <v>0</v>
      </c>
      <c r="T131" s="146">
        <f>S131*H131</f>
        <v>0</v>
      </c>
      <c r="U131" s="31"/>
      <c r="V131" s="31"/>
      <c r="W131" s="31"/>
      <c r="X131" s="31"/>
      <c r="Y131" s="31"/>
      <c r="Z131" s="31"/>
      <c r="AA131" s="31"/>
      <c r="AB131" s="31"/>
      <c r="AC131" s="31"/>
      <c r="AD131" s="31"/>
      <c r="AE131" s="31"/>
      <c r="AR131" s="147" t="s">
        <v>200</v>
      </c>
      <c r="AT131" s="147" t="s">
        <v>141</v>
      </c>
      <c r="AU131" s="147" t="s">
        <v>82</v>
      </c>
      <c r="AY131" s="19" t="s">
        <v>138</v>
      </c>
      <c r="BE131" s="148">
        <f>IF(N131="základní",J131,0)</f>
        <v>0</v>
      </c>
      <c r="BF131" s="148">
        <f>IF(N131="snížená",J131,0)</f>
        <v>0</v>
      </c>
      <c r="BG131" s="148">
        <f>IF(N131="zákl. přenesená",J131,0)</f>
        <v>0</v>
      </c>
      <c r="BH131" s="148">
        <f>IF(N131="sníž. přenesená",J131,0)</f>
        <v>0</v>
      </c>
      <c r="BI131" s="148">
        <f>IF(N131="nulová",J131,0)</f>
        <v>0</v>
      </c>
      <c r="BJ131" s="19" t="s">
        <v>80</v>
      </c>
      <c r="BK131" s="148">
        <f>ROUND(I131*H131,2)</f>
        <v>0</v>
      </c>
      <c r="BL131" s="19" t="s">
        <v>200</v>
      </c>
      <c r="BM131" s="147" t="s">
        <v>862</v>
      </c>
    </row>
    <row r="132" spans="1:65" s="13" customFormat="1">
      <c r="B132" s="149"/>
      <c r="D132" s="150" t="s">
        <v>145</v>
      </c>
      <c r="E132" s="151" t="s">
        <v>3</v>
      </c>
      <c r="F132" s="152" t="s">
        <v>837</v>
      </c>
      <c r="H132" s="151" t="s">
        <v>3</v>
      </c>
      <c r="L132" s="149"/>
      <c r="M132" s="153"/>
      <c r="N132" s="154"/>
      <c r="O132" s="154"/>
      <c r="P132" s="154"/>
      <c r="Q132" s="154"/>
      <c r="R132" s="154"/>
      <c r="S132" s="154"/>
      <c r="T132" s="155"/>
      <c r="AT132" s="151" t="s">
        <v>145</v>
      </c>
      <c r="AU132" s="151" t="s">
        <v>82</v>
      </c>
      <c r="AV132" s="13" t="s">
        <v>80</v>
      </c>
      <c r="AW132" s="13" t="s">
        <v>34</v>
      </c>
      <c r="AX132" s="13" t="s">
        <v>72</v>
      </c>
      <c r="AY132" s="151" t="s">
        <v>138</v>
      </c>
    </row>
    <row r="133" spans="1:65" s="14" customFormat="1">
      <c r="B133" s="156"/>
      <c r="D133" s="150" t="s">
        <v>145</v>
      </c>
      <c r="E133" s="157" t="s">
        <v>3</v>
      </c>
      <c r="F133" s="158">
        <f>78/3*2</f>
        <v>52</v>
      </c>
      <c r="H133" s="159">
        <v>52</v>
      </c>
      <c r="L133" s="156"/>
      <c r="M133" s="160"/>
      <c r="N133" s="161"/>
      <c r="O133" s="161"/>
      <c r="P133" s="161"/>
      <c r="Q133" s="161"/>
      <c r="R133" s="161"/>
      <c r="S133" s="161"/>
      <c r="T133" s="162"/>
      <c r="AT133" s="157" t="s">
        <v>145</v>
      </c>
      <c r="AU133" s="157" t="s">
        <v>82</v>
      </c>
      <c r="AV133" s="14" t="s">
        <v>82</v>
      </c>
      <c r="AW133" s="14" t="s">
        <v>34</v>
      </c>
      <c r="AX133" s="14" t="s">
        <v>80</v>
      </c>
      <c r="AY133" s="157" t="s">
        <v>138</v>
      </c>
    </row>
    <row r="134" spans="1:65" s="2" customFormat="1" ht="24.2" customHeight="1">
      <c r="A134" s="31"/>
      <c r="B134" s="136"/>
      <c r="C134" s="173">
        <v>15</v>
      </c>
      <c r="D134" s="173" t="s">
        <v>164</v>
      </c>
      <c r="E134" s="174" t="s">
        <v>863</v>
      </c>
      <c r="F134" s="175" t="s">
        <v>864</v>
      </c>
      <c r="G134" s="176" t="s">
        <v>147</v>
      </c>
      <c r="H134" s="177">
        <f>H131</f>
        <v>52</v>
      </c>
      <c r="I134" s="178"/>
      <c r="J134" s="178">
        <f>ROUND(I134*H134,2)</f>
        <v>0</v>
      </c>
      <c r="K134" s="175" t="s">
        <v>148</v>
      </c>
      <c r="L134" s="179"/>
      <c r="M134" s="180" t="s">
        <v>3</v>
      </c>
      <c r="N134" s="181" t="s">
        <v>43</v>
      </c>
      <c r="O134" s="145">
        <v>0</v>
      </c>
      <c r="P134" s="145">
        <f>O134*H134</f>
        <v>0</v>
      </c>
      <c r="Q134" s="145">
        <v>5.0000000000000002E-5</v>
      </c>
      <c r="R134" s="145">
        <f>Q134*H134</f>
        <v>2.6000000000000003E-3</v>
      </c>
      <c r="S134" s="145">
        <v>0</v>
      </c>
      <c r="T134" s="146">
        <f>S134*H134</f>
        <v>0</v>
      </c>
      <c r="U134" s="31"/>
      <c r="V134" s="31"/>
      <c r="W134" s="31"/>
      <c r="X134" s="31"/>
      <c r="Y134" s="31"/>
      <c r="Z134" s="31"/>
      <c r="AA134" s="31"/>
      <c r="AB134" s="31"/>
      <c r="AC134" s="31"/>
      <c r="AD134" s="31"/>
      <c r="AE134" s="31"/>
      <c r="AR134" s="147" t="s">
        <v>224</v>
      </c>
      <c r="AT134" s="147" t="s">
        <v>164</v>
      </c>
      <c r="AU134" s="147" t="s">
        <v>82</v>
      </c>
      <c r="AY134" s="19" t="s">
        <v>138</v>
      </c>
      <c r="BE134" s="148">
        <f>IF(N134="základní",J134,0)</f>
        <v>0</v>
      </c>
      <c r="BF134" s="148">
        <f>IF(N134="snížená",J134,0)</f>
        <v>0</v>
      </c>
      <c r="BG134" s="148">
        <f>IF(N134="zákl. přenesená",J134,0)</f>
        <v>0</v>
      </c>
      <c r="BH134" s="148">
        <f>IF(N134="sníž. přenesená",J134,0)</f>
        <v>0</v>
      </c>
      <c r="BI134" s="148">
        <f>IF(N134="nulová",J134,0)</f>
        <v>0</v>
      </c>
      <c r="BJ134" s="19" t="s">
        <v>80</v>
      </c>
      <c r="BK134" s="148">
        <f>ROUND(I134*H134,2)</f>
        <v>0</v>
      </c>
      <c r="BL134" s="19" t="s">
        <v>200</v>
      </c>
      <c r="BM134" s="147" t="s">
        <v>865</v>
      </c>
    </row>
    <row r="135" spans="1:65" s="2" customFormat="1" ht="37.9" customHeight="1">
      <c r="A135" s="31"/>
      <c r="B135" s="136"/>
      <c r="C135" s="137">
        <v>16</v>
      </c>
      <c r="D135" s="137" t="s">
        <v>141</v>
      </c>
      <c r="E135" s="138" t="s">
        <v>866</v>
      </c>
      <c r="F135" s="139" t="s">
        <v>867</v>
      </c>
      <c r="G135" s="140" t="s">
        <v>147</v>
      </c>
      <c r="H135" s="141">
        <f>H137</f>
        <v>114</v>
      </c>
      <c r="I135" s="142"/>
      <c r="J135" s="142">
        <f>ROUND(I135*H135,2)</f>
        <v>0</v>
      </c>
      <c r="K135" s="139" t="s">
        <v>148</v>
      </c>
      <c r="L135" s="32"/>
      <c r="M135" s="143" t="s">
        <v>3</v>
      </c>
      <c r="N135" s="144" t="s">
        <v>43</v>
      </c>
      <c r="O135" s="145">
        <v>9.0999999999999998E-2</v>
      </c>
      <c r="P135" s="145">
        <f>O135*H135</f>
        <v>10.374000000000001</v>
      </c>
      <c r="Q135" s="145">
        <v>0</v>
      </c>
      <c r="R135" s="145">
        <f>Q135*H135</f>
        <v>0</v>
      </c>
      <c r="S135" s="145">
        <v>0</v>
      </c>
      <c r="T135" s="146">
        <f>S135*H135</f>
        <v>0</v>
      </c>
      <c r="U135" s="31"/>
      <c r="V135" s="31"/>
      <c r="W135" s="31"/>
      <c r="X135" s="31"/>
      <c r="Y135" s="31"/>
      <c r="Z135" s="31"/>
      <c r="AA135" s="31"/>
      <c r="AB135" s="31"/>
      <c r="AC135" s="31"/>
      <c r="AD135" s="31"/>
      <c r="AE135" s="31"/>
      <c r="AR135" s="147" t="s">
        <v>200</v>
      </c>
      <c r="AT135" s="147" t="s">
        <v>141</v>
      </c>
      <c r="AU135" s="147" t="s">
        <v>82</v>
      </c>
      <c r="AY135" s="19" t="s">
        <v>138</v>
      </c>
      <c r="BE135" s="148">
        <f>IF(N135="základní",J135,0)</f>
        <v>0</v>
      </c>
      <c r="BF135" s="148">
        <f>IF(N135="snížená",J135,0)</f>
        <v>0</v>
      </c>
      <c r="BG135" s="148">
        <f>IF(N135="zákl. přenesená",J135,0)</f>
        <v>0</v>
      </c>
      <c r="BH135" s="148">
        <f>IF(N135="sníž. přenesená",J135,0)</f>
        <v>0</v>
      </c>
      <c r="BI135" s="148">
        <f>IF(N135="nulová",J135,0)</f>
        <v>0</v>
      </c>
      <c r="BJ135" s="19" t="s">
        <v>80</v>
      </c>
      <c r="BK135" s="148">
        <f>ROUND(I135*H135,2)</f>
        <v>0</v>
      </c>
      <c r="BL135" s="19" t="s">
        <v>200</v>
      </c>
      <c r="BM135" s="147" t="s">
        <v>868</v>
      </c>
    </row>
    <row r="136" spans="1:65" s="13" customFormat="1">
      <c r="B136" s="149"/>
      <c r="D136" s="150" t="s">
        <v>145</v>
      </c>
      <c r="E136" s="151" t="s">
        <v>3</v>
      </c>
      <c r="F136" s="152" t="s">
        <v>837</v>
      </c>
      <c r="H136" s="151" t="s">
        <v>3</v>
      </c>
      <c r="L136" s="149"/>
      <c r="M136" s="153"/>
      <c r="N136" s="154"/>
      <c r="O136" s="154"/>
      <c r="P136" s="154"/>
      <c r="Q136" s="154"/>
      <c r="R136" s="154"/>
      <c r="S136" s="154"/>
      <c r="T136" s="155"/>
      <c r="AT136" s="151" t="s">
        <v>145</v>
      </c>
      <c r="AU136" s="151" t="s">
        <v>82</v>
      </c>
      <c r="AV136" s="13" t="s">
        <v>80</v>
      </c>
      <c r="AW136" s="13" t="s">
        <v>34</v>
      </c>
      <c r="AX136" s="13" t="s">
        <v>72</v>
      </c>
      <c r="AY136" s="151" t="s">
        <v>138</v>
      </c>
    </row>
    <row r="137" spans="1:65" s="14" customFormat="1">
      <c r="B137" s="156"/>
      <c r="D137" s="150" t="s">
        <v>145</v>
      </c>
      <c r="E137" s="157" t="s">
        <v>3</v>
      </c>
      <c r="F137" s="158">
        <v>114</v>
      </c>
      <c r="H137" s="159">
        <f>F137</f>
        <v>114</v>
      </c>
      <c r="L137" s="156"/>
      <c r="M137" s="160"/>
      <c r="N137" s="161"/>
      <c r="O137" s="161"/>
      <c r="P137" s="161"/>
      <c r="Q137" s="161"/>
      <c r="R137" s="161"/>
      <c r="S137" s="161"/>
      <c r="T137" s="162"/>
      <c r="AT137" s="157" t="s">
        <v>145</v>
      </c>
      <c r="AU137" s="157" t="s">
        <v>82</v>
      </c>
      <c r="AV137" s="14" t="s">
        <v>82</v>
      </c>
      <c r="AW137" s="14" t="s">
        <v>34</v>
      </c>
      <c r="AX137" s="14" t="s">
        <v>80</v>
      </c>
      <c r="AY137" s="157" t="s">
        <v>138</v>
      </c>
    </row>
    <row r="138" spans="1:65" s="2" customFormat="1" ht="14.45" customHeight="1">
      <c r="A138" s="31"/>
      <c r="B138" s="136"/>
      <c r="C138" s="173">
        <v>17</v>
      </c>
      <c r="D138" s="173" t="s">
        <v>164</v>
      </c>
      <c r="E138" s="174" t="s">
        <v>869</v>
      </c>
      <c r="F138" s="175" t="s">
        <v>870</v>
      </c>
      <c r="G138" s="176" t="s">
        <v>147</v>
      </c>
      <c r="H138" s="177">
        <f>H135</f>
        <v>114</v>
      </c>
      <c r="I138" s="178"/>
      <c r="J138" s="178">
        <f>ROUND(I138*H138,2)</f>
        <v>0</v>
      </c>
      <c r="K138" s="175" t="s">
        <v>148</v>
      </c>
      <c r="L138" s="179"/>
      <c r="M138" s="180" t="s">
        <v>3</v>
      </c>
      <c r="N138" s="181" t="s">
        <v>43</v>
      </c>
      <c r="O138" s="145">
        <v>0</v>
      </c>
      <c r="P138" s="145">
        <f>O138*H138</f>
        <v>0</v>
      </c>
      <c r="Q138" s="145">
        <v>3.0000000000000001E-5</v>
      </c>
      <c r="R138" s="145">
        <f>Q138*H138</f>
        <v>3.4200000000000003E-3</v>
      </c>
      <c r="S138" s="145">
        <v>0</v>
      </c>
      <c r="T138" s="146">
        <f>S138*H138</f>
        <v>0</v>
      </c>
      <c r="U138" s="31"/>
      <c r="V138" s="31"/>
      <c r="W138" s="31"/>
      <c r="X138" s="31"/>
      <c r="Y138" s="31"/>
      <c r="Z138" s="31"/>
      <c r="AA138" s="31"/>
      <c r="AB138" s="31"/>
      <c r="AC138" s="31"/>
      <c r="AD138" s="31"/>
      <c r="AE138" s="31"/>
      <c r="AR138" s="147" t="s">
        <v>224</v>
      </c>
      <c r="AT138" s="147" t="s">
        <v>164</v>
      </c>
      <c r="AU138" s="147" t="s">
        <v>82</v>
      </c>
      <c r="AY138" s="19" t="s">
        <v>138</v>
      </c>
      <c r="BE138" s="148">
        <f>IF(N138="základní",J138,0)</f>
        <v>0</v>
      </c>
      <c r="BF138" s="148">
        <f>IF(N138="snížená",J138,0)</f>
        <v>0</v>
      </c>
      <c r="BG138" s="148">
        <f>IF(N138="zákl. přenesená",J138,0)</f>
        <v>0</v>
      </c>
      <c r="BH138" s="148">
        <f>IF(N138="sníž. přenesená",J138,0)</f>
        <v>0</v>
      </c>
      <c r="BI138" s="148">
        <f>IF(N138="nulová",J138,0)</f>
        <v>0</v>
      </c>
      <c r="BJ138" s="19" t="s">
        <v>80</v>
      </c>
      <c r="BK138" s="148">
        <f>ROUND(I138*H138,2)</f>
        <v>0</v>
      </c>
      <c r="BL138" s="19" t="s">
        <v>200</v>
      </c>
      <c r="BM138" s="147" t="s">
        <v>871</v>
      </c>
    </row>
    <row r="139" spans="1:65" s="2" customFormat="1" ht="37.9" customHeight="1">
      <c r="A139" s="31"/>
      <c r="B139" s="136"/>
      <c r="C139" s="137">
        <v>18</v>
      </c>
      <c r="D139" s="137" t="s">
        <v>141</v>
      </c>
      <c r="E139" s="138" t="s">
        <v>872</v>
      </c>
      <c r="F139" s="139" t="s">
        <v>873</v>
      </c>
      <c r="G139" s="140" t="s">
        <v>187</v>
      </c>
      <c r="H139" s="141">
        <f>H141</f>
        <v>972</v>
      </c>
      <c r="I139" s="142"/>
      <c r="J139" s="142">
        <f>ROUND(I139*H139,2)</f>
        <v>0</v>
      </c>
      <c r="K139" s="139" t="s">
        <v>148</v>
      </c>
      <c r="L139" s="32"/>
      <c r="M139" s="143" t="s">
        <v>3</v>
      </c>
      <c r="N139" s="144" t="s">
        <v>43</v>
      </c>
      <c r="O139" s="145">
        <v>8.2000000000000003E-2</v>
      </c>
      <c r="P139" s="145">
        <f>O139*H139</f>
        <v>79.704000000000008</v>
      </c>
      <c r="Q139" s="145">
        <v>0</v>
      </c>
      <c r="R139" s="145">
        <f>Q139*H139</f>
        <v>0</v>
      </c>
      <c r="S139" s="145">
        <v>0</v>
      </c>
      <c r="T139" s="146">
        <f>S139*H139</f>
        <v>0</v>
      </c>
      <c r="U139" s="31"/>
      <c r="V139" s="31"/>
      <c r="W139" s="31"/>
      <c r="X139" s="31"/>
      <c r="Y139" s="31"/>
      <c r="Z139" s="31"/>
      <c r="AA139" s="31"/>
      <c r="AB139" s="31"/>
      <c r="AC139" s="31"/>
      <c r="AD139" s="31"/>
      <c r="AE139" s="31"/>
      <c r="AR139" s="147" t="s">
        <v>200</v>
      </c>
      <c r="AT139" s="147" t="s">
        <v>141</v>
      </c>
      <c r="AU139" s="147" t="s">
        <v>82</v>
      </c>
      <c r="AY139" s="19" t="s">
        <v>138</v>
      </c>
      <c r="BE139" s="148">
        <f>IF(N139="základní",J139,0)</f>
        <v>0</v>
      </c>
      <c r="BF139" s="148">
        <f>IF(N139="snížená",J139,0)</f>
        <v>0</v>
      </c>
      <c r="BG139" s="148">
        <f>IF(N139="zákl. přenesená",J139,0)</f>
        <v>0</v>
      </c>
      <c r="BH139" s="148">
        <f>IF(N139="sníž. přenesená",J139,0)</f>
        <v>0</v>
      </c>
      <c r="BI139" s="148">
        <f>IF(N139="nulová",J139,0)</f>
        <v>0</v>
      </c>
      <c r="BJ139" s="19" t="s">
        <v>80</v>
      </c>
      <c r="BK139" s="148">
        <f>ROUND(I139*H139,2)</f>
        <v>0</v>
      </c>
      <c r="BL139" s="19" t="s">
        <v>200</v>
      </c>
      <c r="BM139" s="147" t="s">
        <v>874</v>
      </c>
    </row>
    <row r="140" spans="1:65" s="13" customFormat="1">
      <c r="B140" s="149"/>
      <c r="D140" s="150" t="s">
        <v>145</v>
      </c>
      <c r="E140" s="151" t="s">
        <v>3</v>
      </c>
      <c r="F140" s="152" t="s">
        <v>837</v>
      </c>
      <c r="H140" s="151" t="s">
        <v>3</v>
      </c>
      <c r="L140" s="149"/>
      <c r="M140" s="153"/>
      <c r="N140" s="154"/>
      <c r="O140" s="154"/>
      <c r="P140" s="154"/>
      <c r="Q140" s="154"/>
      <c r="R140" s="154"/>
      <c r="S140" s="154"/>
      <c r="T140" s="155"/>
      <c r="AT140" s="151" t="s">
        <v>145</v>
      </c>
      <c r="AU140" s="151" t="s">
        <v>82</v>
      </c>
      <c r="AV140" s="13" t="s">
        <v>80</v>
      </c>
      <c r="AW140" s="13" t="s">
        <v>34</v>
      </c>
      <c r="AX140" s="13" t="s">
        <v>72</v>
      </c>
      <c r="AY140" s="151" t="s">
        <v>138</v>
      </c>
    </row>
    <row r="141" spans="1:65" s="14" customFormat="1">
      <c r="B141" s="156"/>
      <c r="D141" s="150" t="s">
        <v>145</v>
      </c>
      <c r="E141" s="157" t="s">
        <v>3</v>
      </c>
      <c r="F141" s="158">
        <f>1458/3*2</f>
        <v>972</v>
      </c>
      <c r="H141" s="159">
        <f>F141</f>
        <v>972</v>
      </c>
      <c r="L141" s="156"/>
      <c r="M141" s="160"/>
      <c r="N141" s="161"/>
      <c r="O141" s="161"/>
      <c r="P141" s="161"/>
      <c r="Q141" s="161"/>
      <c r="R141" s="161"/>
      <c r="S141" s="161"/>
      <c r="T141" s="162"/>
      <c r="AT141" s="157" t="s">
        <v>145</v>
      </c>
      <c r="AU141" s="157" t="s">
        <v>82</v>
      </c>
      <c r="AV141" s="14" t="s">
        <v>82</v>
      </c>
      <c r="AW141" s="14" t="s">
        <v>34</v>
      </c>
      <c r="AX141" s="14" t="s">
        <v>80</v>
      </c>
      <c r="AY141" s="157" t="s">
        <v>138</v>
      </c>
    </row>
    <row r="142" spans="1:65" s="2" customFormat="1" ht="14.45" customHeight="1">
      <c r="A142" s="31"/>
      <c r="B142" s="136"/>
      <c r="C142" s="173">
        <v>19</v>
      </c>
      <c r="D142" s="173" t="s">
        <v>164</v>
      </c>
      <c r="E142" s="174" t="s">
        <v>875</v>
      </c>
      <c r="F142" s="175" t="s">
        <v>876</v>
      </c>
      <c r="G142" s="176" t="s">
        <v>187</v>
      </c>
      <c r="H142" s="177">
        <f>H143</f>
        <v>1166.3999999999999</v>
      </c>
      <c r="I142" s="178"/>
      <c r="J142" s="178">
        <f>ROUND(I142*H142,2)</f>
        <v>0</v>
      </c>
      <c r="K142" s="175" t="s">
        <v>148</v>
      </c>
      <c r="L142" s="179"/>
      <c r="M142" s="180" t="s">
        <v>3</v>
      </c>
      <c r="N142" s="181" t="s">
        <v>43</v>
      </c>
      <c r="O142" s="145">
        <v>0</v>
      </c>
      <c r="P142" s="145">
        <f>O142*H142</f>
        <v>0</v>
      </c>
      <c r="Q142" s="145">
        <v>1.2E-4</v>
      </c>
      <c r="R142" s="145">
        <f>Q142*H142</f>
        <v>0.13996799999999998</v>
      </c>
      <c r="S142" s="145">
        <v>0</v>
      </c>
      <c r="T142" s="146">
        <f>S142*H142</f>
        <v>0</v>
      </c>
      <c r="U142" s="31"/>
      <c r="V142" s="31"/>
      <c r="W142" s="31"/>
      <c r="X142" s="31"/>
      <c r="Y142" s="31"/>
      <c r="Z142" s="31"/>
      <c r="AA142" s="31"/>
      <c r="AB142" s="31"/>
      <c r="AC142" s="31"/>
      <c r="AD142" s="31"/>
      <c r="AE142" s="31"/>
      <c r="AR142" s="147" t="s">
        <v>224</v>
      </c>
      <c r="AT142" s="147" t="s">
        <v>164</v>
      </c>
      <c r="AU142" s="147" t="s">
        <v>82</v>
      </c>
      <c r="AY142" s="19" t="s">
        <v>138</v>
      </c>
      <c r="BE142" s="148">
        <f>IF(N142="základní",J142,0)</f>
        <v>0</v>
      </c>
      <c r="BF142" s="148">
        <f>IF(N142="snížená",J142,0)</f>
        <v>0</v>
      </c>
      <c r="BG142" s="148">
        <f>IF(N142="zákl. přenesená",J142,0)</f>
        <v>0</v>
      </c>
      <c r="BH142" s="148">
        <f>IF(N142="sníž. přenesená",J142,0)</f>
        <v>0</v>
      </c>
      <c r="BI142" s="148">
        <f>IF(N142="nulová",J142,0)</f>
        <v>0</v>
      </c>
      <c r="BJ142" s="19" t="s">
        <v>80</v>
      </c>
      <c r="BK142" s="148">
        <f>ROUND(I142*H142,2)</f>
        <v>0</v>
      </c>
      <c r="BL142" s="19" t="s">
        <v>200</v>
      </c>
      <c r="BM142" s="147" t="s">
        <v>877</v>
      </c>
    </row>
    <row r="143" spans="1:65" s="14" customFormat="1">
      <c r="B143" s="156"/>
      <c r="D143" s="150" t="s">
        <v>145</v>
      </c>
      <c r="F143" s="158" t="s">
        <v>1380</v>
      </c>
      <c r="H143" s="159">
        <f>H139*1.2</f>
        <v>1166.3999999999999</v>
      </c>
      <c r="L143" s="156"/>
      <c r="M143" s="160"/>
      <c r="N143" s="161"/>
      <c r="O143" s="161"/>
      <c r="P143" s="161"/>
      <c r="Q143" s="161"/>
      <c r="R143" s="161"/>
      <c r="S143" s="161"/>
      <c r="T143" s="162"/>
      <c r="AT143" s="157" t="s">
        <v>145</v>
      </c>
      <c r="AU143" s="157" t="s">
        <v>82</v>
      </c>
      <c r="AV143" s="14" t="s">
        <v>82</v>
      </c>
      <c r="AW143" s="14" t="s">
        <v>4</v>
      </c>
      <c r="AX143" s="14" t="s">
        <v>80</v>
      </c>
      <c r="AY143" s="157" t="s">
        <v>138</v>
      </c>
    </row>
    <row r="144" spans="1:65" s="2" customFormat="1" ht="37.9" customHeight="1">
      <c r="A144" s="31"/>
      <c r="B144" s="136"/>
      <c r="C144" s="137">
        <v>20</v>
      </c>
      <c r="D144" s="137" t="s">
        <v>141</v>
      </c>
      <c r="E144" s="138" t="s">
        <v>878</v>
      </c>
      <c r="F144" s="139" t="s">
        <v>879</v>
      </c>
      <c r="G144" s="140" t="s">
        <v>187</v>
      </c>
      <c r="H144" s="319">
        <f>H146</f>
        <v>705</v>
      </c>
      <c r="I144" s="142"/>
      <c r="J144" s="142">
        <f>ROUND(I144*H144,2)</f>
        <v>0</v>
      </c>
      <c r="K144" s="139" t="s">
        <v>148</v>
      </c>
      <c r="L144" s="32"/>
      <c r="M144" s="143" t="s">
        <v>3</v>
      </c>
      <c r="N144" s="144" t="s">
        <v>43</v>
      </c>
      <c r="O144" s="145">
        <v>8.5999999999999993E-2</v>
      </c>
      <c r="P144" s="145">
        <f>O144*H144</f>
        <v>60.629999999999995</v>
      </c>
      <c r="Q144" s="145">
        <v>0</v>
      </c>
      <c r="R144" s="145">
        <f>Q144*H144</f>
        <v>0</v>
      </c>
      <c r="S144" s="145">
        <v>0</v>
      </c>
      <c r="T144" s="146">
        <f>S144*H144</f>
        <v>0</v>
      </c>
      <c r="U144" s="31"/>
      <c r="V144" s="31"/>
      <c r="W144" s="31"/>
      <c r="X144" s="31"/>
      <c r="Y144" s="31"/>
      <c r="Z144" s="31"/>
      <c r="AA144" s="31"/>
      <c r="AB144" s="31"/>
      <c r="AC144" s="31"/>
      <c r="AD144" s="31"/>
      <c r="AE144" s="31"/>
      <c r="AR144" s="147" t="s">
        <v>200</v>
      </c>
      <c r="AT144" s="147" t="s">
        <v>141</v>
      </c>
      <c r="AU144" s="147" t="s">
        <v>82</v>
      </c>
      <c r="AY144" s="19" t="s">
        <v>138</v>
      </c>
      <c r="BE144" s="148">
        <f>IF(N144="základní",J144,0)</f>
        <v>0</v>
      </c>
      <c r="BF144" s="148">
        <f>IF(N144="snížená",J144,0)</f>
        <v>0</v>
      </c>
      <c r="BG144" s="148">
        <f>IF(N144="zákl. přenesená",J144,0)</f>
        <v>0</v>
      </c>
      <c r="BH144" s="148">
        <f>IF(N144="sníž. přenesená",J144,0)</f>
        <v>0</v>
      </c>
      <c r="BI144" s="148">
        <f>IF(N144="nulová",J144,0)</f>
        <v>0</v>
      </c>
      <c r="BJ144" s="19" t="s">
        <v>80</v>
      </c>
      <c r="BK144" s="148">
        <f>ROUND(I144*H144,2)</f>
        <v>0</v>
      </c>
      <c r="BL144" s="19" t="s">
        <v>200</v>
      </c>
      <c r="BM144" s="147" t="s">
        <v>880</v>
      </c>
    </row>
    <row r="145" spans="1:65" s="13" customFormat="1">
      <c r="B145" s="149"/>
      <c r="D145" s="150" t="s">
        <v>145</v>
      </c>
      <c r="E145" s="151" t="s">
        <v>3</v>
      </c>
      <c r="F145" s="152" t="s">
        <v>837</v>
      </c>
      <c r="H145" s="151" t="s">
        <v>3</v>
      </c>
      <c r="L145" s="149"/>
      <c r="M145" s="153"/>
      <c r="N145" s="154"/>
      <c r="O145" s="154"/>
      <c r="P145" s="154"/>
      <c r="Q145" s="154"/>
      <c r="R145" s="154"/>
      <c r="S145" s="154"/>
      <c r="T145" s="155"/>
      <c r="AT145" s="151" t="s">
        <v>145</v>
      </c>
      <c r="AU145" s="151" t="s">
        <v>82</v>
      </c>
      <c r="AV145" s="13" t="s">
        <v>80</v>
      </c>
      <c r="AW145" s="13" t="s">
        <v>34</v>
      </c>
      <c r="AX145" s="13" t="s">
        <v>72</v>
      </c>
      <c r="AY145" s="151" t="s">
        <v>138</v>
      </c>
    </row>
    <row r="146" spans="1:65" s="14" customFormat="1">
      <c r="B146" s="156"/>
      <c r="D146" s="150" t="s">
        <v>145</v>
      </c>
      <c r="E146" s="157" t="s">
        <v>3</v>
      </c>
      <c r="F146" s="317">
        <f>1057/3*2</f>
        <v>704.66666666666663</v>
      </c>
      <c r="H146" s="318">
        <v>705</v>
      </c>
      <c r="L146" s="156"/>
      <c r="M146" s="160"/>
      <c r="N146" s="161"/>
      <c r="O146" s="161"/>
      <c r="P146" s="161"/>
      <c r="Q146" s="161"/>
      <c r="R146" s="161"/>
      <c r="S146" s="161"/>
      <c r="T146" s="162"/>
      <c r="AT146" s="157" t="s">
        <v>145</v>
      </c>
      <c r="AU146" s="157" t="s">
        <v>82</v>
      </c>
      <c r="AV146" s="14" t="s">
        <v>82</v>
      </c>
      <c r="AW146" s="14" t="s">
        <v>34</v>
      </c>
      <c r="AX146" s="14" t="s">
        <v>80</v>
      </c>
      <c r="AY146" s="157" t="s">
        <v>138</v>
      </c>
    </row>
    <row r="147" spans="1:65" s="2" customFormat="1" ht="14.45" customHeight="1">
      <c r="A147" s="31"/>
      <c r="B147" s="136"/>
      <c r="C147" s="173">
        <v>21</v>
      </c>
      <c r="D147" s="173" t="s">
        <v>164</v>
      </c>
      <c r="E147" s="174" t="s">
        <v>881</v>
      </c>
      <c r="F147" s="175" t="s">
        <v>882</v>
      </c>
      <c r="G147" s="176" t="s">
        <v>187</v>
      </c>
      <c r="H147" s="177">
        <f>H148</f>
        <v>846</v>
      </c>
      <c r="I147" s="178"/>
      <c r="J147" s="178">
        <f>ROUND(I147*H147,2)</f>
        <v>0</v>
      </c>
      <c r="K147" s="175" t="s">
        <v>148</v>
      </c>
      <c r="L147" s="179"/>
      <c r="M147" s="180" t="s">
        <v>3</v>
      </c>
      <c r="N147" s="181" t="s">
        <v>43</v>
      </c>
      <c r="O147" s="145">
        <v>0</v>
      </c>
      <c r="P147" s="145">
        <f>O147*H147</f>
        <v>0</v>
      </c>
      <c r="Q147" s="145">
        <v>1.7000000000000001E-4</v>
      </c>
      <c r="R147" s="145">
        <f>Q147*H147</f>
        <v>0.14382</v>
      </c>
      <c r="S147" s="145">
        <v>0</v>
      </c>
      <c r="T147" s="146">
        <f>S147*H147</f>
        <v>0</v>
      </c>
      <c r="U147" s="31"/>
      <c r="V147" s="31"/>
      <c r="W147" s="31"/>
      <c r="X147" s="31"/>
      <c r="Y147" s="31"/>
      <c r="Z147" s="31"/>
      <c r="AA147" s="31"/>
      <c r="AB147" s="31"/>
      <c r="AC147" s="31"/>
      <c r="AD147" s="31"/>
      <c r="AE147" s="31"/>
      <c r="AR147" s="147" t="s">
        <v>224</v>
      </c>
      <c r="AT147" s="147" t="s">
        <v>164</v>
      </c>
      <c r="AU147" s="147" t="s">
        <v>82</v>
      </c>
      <c r="AY147" s="19" t="s">
        <v>138</v>
      </c>
      <c r="BE147" s="148">
        <f>IF(N147="základní",J147,0)</f>
        <v>0</v>
      </c>
      <c r="BF147" s="148">
        <f>IF(N147="snížená",J147,0)</f>
        <v>0</v>
      </c>
      <c r="BG147" s="148">
        <f>IF(N147="zákl. přenesená",J147,0)</f>
        <v>0</v>
      </c>
      <c r="BH147" s="148">
        <f>IF(N147="sníž. přenesená",J147,0)</f>
        <v>0</v>
      </c>
      <c r="BI147" s="148">
        <f>IF(N147="nulová",J147,0)</f>
        <v>0</v>
      </c>
      <c r="BJ147" s="19" t="s">
        <v>80</v>
      </c>
      <c r="BK147" s="148">
        <f>ROUND(I147*H147,2)</f>
        <v>0</v>
      </c>
      <c r="BL147" s="19" t="s">
        <v>200</v>
      </c>
      <c r="BM147" s="147" t="s">
        <v>883</v>
      </c>
    </row>
    <row r="148" spans="1:65" s="14" customFormat="1">
      <c r="B148" s="156"/>
      <c r="D148" s="150" t="s">
        <v>145</v>
      </c>
      <c r="F148" s="158" t="s">
        <v>1381</v>
      </c>
      <c r="H148" s="159">
        <f>H144*1.2</f>
        <v>846</v>
      </c>
      <c r="L148" s="156"/>
      <c r="M148" s="160"/>
      <c r="N148" s="161"/>
      <c r="O148" s="161"/>
      <c r="P148" s="161"/>
      <c r="Q148" s="161"/>
      <c r="R148" s="161"/>
      <c r="S148" s="161"/>
      <c r="T148" s="162"/>
      <c r="AT148" s="157" t="s">
        <v>145</v>
      </c>
      <c r="AU148" s="157" t="s">
        <v>82</v>
      </c>
      <c r="AV148" s="14" t="s">
        <v>82</v>
      </c>
      <c r="AW148" s="14" t="s">
        <v>4</v>
      </c>
      <c r="AX148" s="14" t="s">
        <v>80</v>
      </c>
      <c r="AY148" s="157" t="s">
        <v>138</v>
      </c>
    </row>
    <row r="149" spans="1:65" s="2" customFormat="1" ht="49.15" customHeight="1">
      <c r="A149" s="31"/>
      <c r="B149" s="136"/>
      <c r="C149" s="137">
        <v>22</v>
      </c>
      <c r="D149" s="137" t="s">
        <v>141</v>
      </c>
      <c r="E149" s="138" t="s">
        <v>884</v>
      </c>
      <c r="F149" s="139" t="s">
        <v>885</v>
      </c>
      <c r="G149" s="140" t="s">
        <v>187</v>
      </c>
      <c r="H149" s="141">
        <f>H151</f>
        <v>24</v>
      </c>
      <c r="I149" s="142"/>
      <c r="J149" s="142">
        <f>ROUND(I149*H149,2)</f>
        <v>0</v>
      </c>
      <c r="K149" s="139" t="s">
        <v>148</v>
      </c>
      <c r="L149" s="32"/>
      <c r="M149" s="143" t="s">
        <v>3</v>
      </c>
      <c r="N149" s="144" t="s">
        <v>43</v>
      </c>
      <c r="O149" s="145">
        <v>9.8000000000000004E-2</v>
      </c>
      <c r="P149" s="145">
        <f>O149*H149</f>
        <v>2.3520000000000003</v>
      </c>
      <c r="Q149" s="145">
        <v>0</v>
      </c>
      <c r="R149" s="145">
        <f>Q149*H149</f>
        <v>0</v>
      </c>
      <c r="S149" s="145">
        <v>0</v>
      </c>
      <c r="T149" s="146">
        <f>S149*H149</f>
        <v>0</v>
      </c>
      <c r="U149" s="31"/>
      <c r="V149" s="31"/>
      <c r="W149" s="31"/>
      <c r="X149" s="31"/>
      <c r="Y149" s="31"/>
      <c r="Z149" s="31"/>
      <c r="AA149" s="31"/>
      <c r="AB149" s="31"/>
      <c r="AC149" s="31"/>
      <c r="AD149" s="31"/>
      <c r="AE149" s="31"/>
      <c r="AR149" s="147" t="s">
        <v>200</v>
      </c>
      <c r="AT149" s="147" t="s">
        <v>141</v>
      </c>
      <c r="AU149" s="147" t="s">
        <v>82</v>
      </c>
      <c r="AY149" s="19" t="s">
        <v>138</v>
      </c>
      <c r="BE149" s="148">
        <f>IF(N149="základní",J149,0)</f>
        <v>0</v>
      </c>
      <c r="BF149" s="148">
        <f>IF(N149="snížená",J149,0)</f>
        <v>0</v>
      </c>
      <c r="BG149" s="148">
        <f>IF(N149="zákl. přenesená",J149,0)</f>
        <v>0</v>
      </c>
      <c r="BH149" s="148">
        <f>IF(N149="sníž. přenesená",J149,0)</f>
        <v>0</v>
      </c>
      <c r="BI149" s="148">
        <f>IF(N149="nulová",J149,0)</f>
        <v>0</v>
      </c>
      <c r="BJ149" s="19" t="s">
        <v>80</v>
      </c>
      <c r="BK149" s="148">
        <f>ROUND(I149*H149,2)</f>
        <v>0</v>
      </c>
      <c r="BL149" s="19" t="s">
        <v>200</v>
      </c>
      <c r="BM149" s="147" t="s">
        <v>886</v>
      </c>
    </row>
    <row r="150" spans="1:65" s="13" customFormat="1">
      <c r="B150" s="149"/>
      <c r="D150" s="150" t="s">
        <v>145</v>
      </c>
      <c r="E150" s="151" t="s">
        <v>3</v>
      </c>
      <c r="F150" s="152" t="s">
        <v>837</v>
      </c>
      <c r="H150" s="151" t="s">
        <v>3</v>
      </c>
      <c r="L150" s="149"/>
      <c r="M150" s="153"/>
      <c r="N150" s="154"/>
      <c r="O150" s="154"/>
      <c r="P150" s="154"/>
      <c r="Q150" s="154"/>
      <c r="R150" s="154"/>
      <c r="S150" s="154"/>
      <c r="T150" s="155"/>
      <c r="AT150" s="151" t="s">
        <v>145</v>
      </c>
      <c r="AU150" s="151" t="s">
        <v>82</v>
      </c>
      <c r="AV150" s="13" t="s">
        <v>80</v>
      </c>
      <c r="AW150" s="13" t="s">
        <v>34</v>
      </c>
      <c r="AX150" s="13" t="s">
        <v>72</v>
      </c>
      <c r="AY150" s="151" t="s">
        <v>138</v>
      </c>
    </row>
    <row r="151" spans="1:65" s="14" customFormat="1">
      <c r="B151" s="156"/>
      <c r="D151" s="150" t="s">
        <v>145</v>
      </c>
      <c r="E151" s="157" t="s">
        <v>3</v>
      </c>
      <c r="F151" s="158">
        <f>F128</f>
        <v>24</v>
      </c>
      <c r="H151" s="159">
        <f>F151</f>
        <v>24</v>
      </c>
      <c r="L151" s="156"/>
      <c r="M151" s="160"/>
      <c r="N151" s="161"/>
      <c r="O151" s="161"/>
      <c r="P151" s="161"/>
      <c r="Q151" s="161"/>
      <c r="R151" s="161"/>
      <c r="S151" s="161"/>
      <c r="T151" s="162"/>
      <c r="AT151" s="157" t="s">
        <v>145</v>
      </c>
      <c r="AU151" s="157" t="s">
        <v>82</v>
      </c>
      <c r="AV151" s="14" t="s">
        <v>82</v>
      </c>
      <c r="AW151" s="14" t="s">
        <v>34</v>
      </c>
      <c r="AX151" s="14" t="s">
        <v>80</v>
      </c>
      <c r="AY151" s="157" t="s">
        <v>138</v>
      </c>
    </row>
    <row r="152" spans="1:65" s="2" customFormat="1" ht="14.45" customHeight="1">
      <c r="A152" s="31"/>
      <c r="B152" s="136"/>
      <c r="C152" s="173">
        <v>23</v>
      </c>
      <c r="D152" s="173" t="s">
        <v>164</v>
      </c>
      <c r="E152" s="174" t="s">
        <v>875</v>
      </c>
      <c r="F152" s="175" t="s">
        <v>876</v>
      </c>
      <c r="G152" s="176" t="s">
        <v>187</v>
      </c>
      <c r="H152" s="177">
        <f>H153</f>
        <v>28.799999999999997</v>
      </c>
      <c r="I152" s="178"/>
      <c r="J152" s="178">
        <f>ROUND(I152*H152,2)</f>
        <v>0</v>
      </c>
      <c r="K152" s="175" t="s">
        <v>148</v>
      </c>
      <c r="L152" s="179"/>
      <c r="M152" s="180" t="s">
        <v>3</v>
      </c>
      <c r="N152" s="181" t="s">
        <v>43</v>
      </c>
      <c r="O152" s="145">
        <v>0</v>
      </c>
      <c r="P152" s="145">
        <f>O152*H152</f>
        <v>0</v>
      </c>
      <c r="Q152" s="145">
        <v>1.2E-4</v>
      </c>
      <c r="R152" s="145">
        <f>Q152*H152</f>
        <v>3.4559999999999999E-3</v>
      </c>
      <c r="S152" s="145">
        <v>0</v>
      </c>
      <c r="T152" s="146">
        <f>S152*H152</f>
        <v>0</v>
      </c>
      <c r="U152" s="31"/>
      <c r="V152" s="31"/>
      <c r="W152" s="31"/>
      <c r="X152" s="31"/>
      <c r="Y152" s="31"/>
      <c r="Z152" s="31"/>
      <c r="AA152" s="31"/>
      <c r="AB152" s="31"/>
      <c r="AC152" s="31"/>
      <c r="AD152" s="31"/>
      <c r="AE152" s="31"/>
      <c r="AR152" s="147" t="s">
        <v>224</v>
      </c>
      <c r="AT152" s="147" t="s">
        <v>164</v>
      </c>
      <c r="AU152" s="147" t="s">
        <v>82</v>
      </c>
      <c r="AY152" s="19" t="s">
        <v>138</v>
      </c>
      <c r="BE152" s="148">
        <f>IF(N152="základní",J152,0)</f>
        <v>0</v>
      </c>
      <c r="BF152" s="148">
        <f>IF(N152="snížená",J152,0)</f>
        <v>0</v>
      </c>
      <c r="BG152" s="148">
        <f>IF(N152="zákl. přenesená",J152,0)</f>
        <v>0</v>
      </c>
      <c r="BH152" s="148">
        <f>IF(N152="sníž. přenesená",J152,0)</f>
        <v>0</v>
      </c>
      <c r="BI152" s="148">
        <f>IF(N152="nulová",J152,0)</f>
        <v>0</v>
      </c>
      <c r="BJ152" s="19" t="s">
        <v>80</v>
      </c>
      <c r="BK152" s="148">
        <f>ROUND(I152*H152,2)</f>
        <v>0</v>
      </c>
      <c r="BL152" s="19" t="s">
        <v>200</v>
      </c>
      <c r="BM152" s="147" t="s">
        <v>887</v>
      </c>
    </row>
    <row r="153" spans="1:65" s="14" customFormat="1">
      <c r="B153" s="156"/>
      <c r="D153" s="150" t="s">
        <v>145</v>
      </c>
      <c r="F153" s="158" t="s">
        <v>1382</v>
      </c>
      <c r="H153" s="159">
        <f>H149*1.2</f>
        <v>28.799999999999997</v>
      </c>
      <c r="L153" s="156"/>
      <c r="M153" s="160"/>
      <c r="N153" s="161"/>
      <c r="O153" s="161"/>
      <c r="P153" s="161"/>
      <c r="Q153" s="161"/>
      <c r="R153" s="161"/>
      <c r="S153" s="161"/>
      <c r="T153" s="162"/>
      <c r="AT153" s="157" t="s">
        <v>145</v>
      </c>
      <c r="AU153" s="157" t="s">
        <v>82</v>
      </c>
      <c r="AV153" s="14" t="s">
        <v>82</v>
      </c>
      <c r="AW153" s="14" t="s">
        <v>4</v>
      </c>
      <c r="AX153" s="14" t="s">
        <v>80</v>
      </c>
      <c r="AY153" s="157" t="s">
        <v>138</v>
      </c>
    </row>
    <row r="154" spans="1:65" s="2" customFormat="1" ht="24.2" customHeight="1">
      <c r="A154" s="31"/>
      <c r="B154" s="136"/>
      <c r="C154" s="137">
        <v>24</v>
      </c>
      <c r="D154" s="137" t="s">
        <v>141</v>
      </c>
      <c r="E154" s="138" t="s">
        <v>888</v>
      </c>
      <c r="F154" s="139" t="s">
        <v>889</v>
      </c>
      <c r="G154" s="140" t="s">
        <v>147</v>
      </c>
      <c r="H154" s="141">
        <f>H156</f>
        <v>28</v>
      </c>
      <c r="I154" s="142"/>
      <c r="J154" s="142">
        <f>ROUND(I154*H154,2)</f>
        <v>0</v>
      </c>
      <c r="K154" s="139" t="s">
        <v>148</v>
      </c>
      <c r="L154" s="32"/>
      <c r="M154" s="143" t="s">
        <v>3</v>
      </c>
      <c r="N154" s="144" t="s">
        <v>43</v>
      </c>
      <c r="O154" s="145">
        <v>5.0999999999999997E-2</v>
      </c>
      <c r="P154" s="145">
        <f>O154*H154</f>
        <v>1.4279999999999999</v>
      </c>
      <c r="Q154" s="145">
        <v>0</v>
      </c>
      <c r="R154" s="145">
        <f>Q154*H154</f>
        <v>0</v>
      </c>
      <c r="S154" s="145">
        <v>0</v>
      </c>
      <c r="T154" s="146">
        <f>S154*H154</f>
        <v>0</v>
      </c>
      <c r="U154" s="31"/>
      <c r="V154" s="31"/>
      <c r="W154" s="31"/>
      <c r="X154" s="31"/>
      <c r="Y154" s="31"/>
      <c r="Z154" s="31"/>
      <c r="AA154" s="31"/>
      <c r="AB154" s="31"/>
      <c r="AC154" s="31"/>
      <c r="AD154" s="31"/>
      <c r="AE154" s="31"/>
      <c r="AR154" s="147" t="s">
        <v>200</v>
      </c>
      <c r="AT154" s="147" t="s">
        <v>141</v>
      </c>
      <c r="AU154" s="147" t="s">
        <v>82</v>
      </c>
      <c r="AY154" s="19" t="s">
        <v>138</v>
      </c>
      <c r="BE154" s="148">
        <f>IF(N154="základní",J154,0)</f>
        <v>0</v>
      </c>
      <c r="BF154" s="148">
        <f>IF(N154="snížená",J154,0)</f>
        <v>0</v>
      </c>
      <c r="BG154" s="148">
        <f>IF(N154="zákl. přenesená",J154,0)</f>
        <v>0</v>
      </c>
      <c r="BH154" s="148">
        <f>IF(N154="sníž. přenesená",J154,0)</f>
        <v>0</v>
      </c>
      <c r="BI154" s="148">
        <f>IF(N154="nulová",J154,0)</f>
        <v>0</v>
      </c>
      <c r="BJ154" s="19" t="s">
        <v>80</v>
      </c>
      <c r="BK154" s="148">
        <f>ROUND(I154*H154,2)</f>
        <v>0</v>
      </c>
      <c r="BL154" s="19" t="s">
        <v>200</v>
      </c>
      <c r="BM154" s="147" t="s">
        <v>890</v>
      </c>
    </row>
    <row r="155" spans="1:65" s="13" customFormat="1">
      <c r="B155" s="149"/>
      <c r="D155" s="150" t="s">
        <v>145</v>
      </c>
      <c r="E155" s="151" t="s">
        <v>3</v>
      </c>
      <c r="F155" s="152" t="s">
        <v>837</v>
      </c>
      <c r="H155" s="151" t="s">
        <v>3</v>
      </c>
      <c r="L155" s="149"/>
      <c r="M155" s="153"/>
      <c r="N155" s="154"/>
      <c r="O155" s="154"/>
      <c r="P155" s="154"/>
      <c r="Q155" s="154"/>
      <c r="R155" s="154"/>
      <c r="S155" s="154"/>
      <c r="T155" s="155"/>
      <c r="AT155" s="151" t="s">
        <v>145</v>
      </c>
      <c r="AU155" s="151" t="s">
        <v>82</v>
      </c>
      <c r="AV155" s="13" t="s">
        <v>80</v>
      </c>
      <c r="AW155" s="13" t="s">
        <v>34</v>
      </c>
      <c r="AX155" s="13" t="s">
        <v>72</v>
      </c>
      <c r="AY155" s="151" t="s">
        <v>138</v>
      </c>
    </row>
    <row r="156" spans="1:65" s="14" customFormat="1">
      <c r="B156" s="156"/>
      <c r="D156" s="150" t="s">
        <v>145</v>
      </c>
      <c r="E156" s="157" t="s">
        <v>3</v>
      </c>
      <c r="F156" s="158">
        <f>42/3*2</f>
        <v>28</v>
      </c>
      <c r="H156" s="159">
        <f>F156</f>
        <v>28</v>
      </c>
      <c r="L156" s="156"/>
      <c r="M156" s="160"/>
      <c r="N156" s="161"/>
      <c r="O156" s="161"/>
      <c r="P156" s="161"/>
      <c r="Q156" s="161"/>
      <c r="R156" s="161"/>
      <c r="S156" s="161"/>
      <c r="T156" s="162"/>
      <c r="AT156" s="157" t="s">
        <v>145</v>
      </c>
      <c r="AU156" s="157" t="s">
        <v>82</v>
      </c>
      <c r="AV156" s="14" t="s">
        <v>82</v>
      </c>
      <c r="AW156" s="14" t="s">
        <v>34</v>
      </c>
      <c r="AX156" s="14" t="s">
        <v>80</v>
      </c>
      <c r="AY156" s="157" t="s">
        <v>138</v>
      </c>
    </row>
    <row r="157" spans="1:65" s="2" customFormat="1" ht="37.9" customHeight="1">
      <c r="A157" s="31"/>
      <c r="B157" s="136"/>
      <c r="C157" s="137">
        <v>25</v>
      </c>
      <c r="D157" s="137" t="s">
        <v>141</v>
      </c>
      <c r="E157" s="138" t="s">
        <v>891</v>
      </c>
      <c r="F157" s="139" t="s">
        <v>892</v>
      </c>
      <c r="G157" s="140" t="s">
        <v>147</v>
      </c>
      <c r="H157" s="141">
        <f>H159</f>
        <v>312</v>
      </c>
      <c r="I157" s="142"/>
      <c r="J157" s="142">
        <f>ROUND(I157*H157,2)</f>
        <v>0</v>
      </c>
      <c r="K157" s="139" t="s">
        <v>148</v>
      </c>
      <c r="L157" s="32"/>
      <c r="M157" s="143" t="s">
        <v>3</v>
      </c>
      <c r="N157" s="144" t="s">
        <v>43</v>
      </c>
      <c r="O157" s="145">
        <v>5.5E-2</v>
      </c>
      <c r="P157" s="145">
        <f>O157*H157</f>
        <v>17.16</v>
      </c>
      <c r="Q157" s="145">
        <v>0</v>
      </c>
      <c r="R157" s="145">
        <f>Q157*H157</f>
        <v>0</v>
      </c>
      <c r="S157" s="145">
        <v>0</v>
      </c>
      <c r="T157" s="146">
        <f>S157*H157</f>
        <v>0</v>
      </c>
      <c r="U157" s="31"/>
      <c r="V157" s="31"/>
      <c r="W157" s="31"/>
      <c r="X157" s="31"/>
      <c r="Y157" s="31"/>
      <c r="Z157" s="31"/>
      <c r="AA157" s="31"/>
      <c r="AB157" s="31"/>
      <c r="AC157" s="31"/>
      <c r="AD157" s="31"/>
      <c r="AE157" s="31"/>
      <c r="AR157" s="147" t="s">
        <v>200</v>
      </c>
      <c r="AT157" s="147" t="s">
        <v>141</v>
      </c>
      <c r="AU157" s="147" t="s">
        <v>82</v>
      </c>
      <c r="AY157" s="19" t="s">
        <v>138</v>
      </c>
      <c r="BE157" s="148">
        <f>IF(N157="základní",J157,0)</f>
        <v>0</v>
      </c>
      <c r="BF157" s="148">
        <f>IF(N157="snížená",J157,0)</f>
        <v>0</v>
      </c>
      <c r="BG157" s="148">
        <f>IF(N157="zákl. přenesená",J157,0)</f>
        <v>0</v>
      </c>
      <c r="BH157" s="148">
        <f>IF(N157="sníž. přenesená",J157,0)</f>
        <v>0</v>
      </c>
      <c r="BI157" s="148">
        <f>IF(N157="nulová",J157,0)</f>
        <v>0</v>
      </c>
      <c r="BJ157" s="19" t="s">
        <v>80</v>
      </c>
      <c r="BK157" s="148">
        <f>ROUND(I157*H157,2)</f>
        <v>0</v>
      </c>
      <c r="BL157" s="19" t="s">
        <v>200</v>
      </c>
      <c r="BM157" s="147" t="s">
        <v>893</v>
      </c>
    </row>
    <row r="158" spans="1:65" s="13" customFormat="1">
      <c r="B158" s="149"/>
      <c r="D158" s="150" t="s">
        <v>145</v>
      </c>
      <c r="E158" s="151" t="s">
        <v>3</v>
      </c>
      <c r="F158" s="152" t="s">
        <v>837</v>
      </c>
      <c r="H158" s="151" t="s">
        <v>3</v>
      </c>
      <c r="L158" s="149"/>
      <c r="M158" s="153"/>
      <c r="N158" s="154"/>
      <c r="O158" s="154"/>
      <c r="P158" s="154"/>
      <c r="Q158" s="154"/>
      <c r="R158" s="154"/>
      <c r="S158" s="154"/>
      <c r="T158" s="155"/>
      <c r="AT158" s="151" t="s">
        <v>145</v>
      </c>
      <c r="AU158" s="151" t="s">
        <v>82</v>
      </c>
      <c r="AV158" s="13" t="s">
        <v>80</v>
      </c>
      <c r="AW158" s="13" t="s">
        <v>34</v>
      </c>
      <c r="AX158" s="13" t="s">
        <v>72</v>
      </c>
      <c r="AY158" s="151" t="s">
        <v>138</v>
      </c>
    </row>
    <row r="159" spans="1:65" s="14" customFormat="1">
      <c r="B159" s="156"/>
      <c r="D159" s="150" t="s">
        <v>145</v>
      </c>
      <c r="E159" s="157" t="s">
        <v>3</v>
      </c>
      <c r="F159" s="158">
        <f>468/3*2</f>
        <v>312</v>
      </c>
      <c r="H159" s="159">
        <f>F159</f>
        <v>312</v>
      </c>
      <c r="L159" s="156"/>
      <c r="M159" s="160"/>
      <c r="N159" s="161"/>
      <c r="O159" s="161"/>
      <c r="P159" s="161"/>
      <c r="Q159" s="161"/>
      <c r="R159" s="161"/>
      <c r="S159" s="161"/>
      <c r="T159" s="162"/>
      <c r="AT159" s="157" t="s">
        <v>145</v>
      </c>
      <c r="AU159" s="157" t="s">
        <v>82</v>
      </c>
      <c r="AV159" s="14" t="s">
        <v>82</v>
      </c>
      <c r="AW159" s="14" t="s">
        <v>34</v>
      </c>
      <c r="AX159" s="14" t="s">
        <v>80</v>
      </c>
      <c r="AY159" s="157" t="s">
        <v>138</v>
      </c>
    </row>
    <row r="160" spans="1:65" s="2" customFormat="1" ht="37.9" customHeight="1">
      <c r="A160" s="31"/>
      <c r="B160" s="136"/>
      <c r="C160" s="137">
        <v>26</v>
      </c>
      <c r="D160" s="137" t="s">
        <v>141</v>
      </c>
      <c r="E160" s="138" t="s">
        <v>894</v>
      </c>
      <c r="F160" s="139" t="s">
        <v>895</v>
      </c>
      <c r="G160" s="140" t="s">
        <v>147</v>
      </c>
      <c r="H160" s="141">
        <f>H162</f>
        <v>19</v>
      </c>
      <c r="I160" s="142"/>
      <c r="J160" s="142">
        <f>ROUND(I160*H160,2)</f>
        <v>0</v>
      </c>
      <c r="K160" s="139" t="s">
        <v>148</v>
      </c>
      <c r="L160" s="32"/>
      <c r="M160" s="143" t="s">
        <v>3</v>
      </c>
      <c r="N160" s="144" t="s">
        <v>43</v>
      </c>
      <c r="O160" s="145">
        <v>0.30599999999999999</v>
      </c>
      <c r="P160" s="145">
        <f>O160*H160</f>
        <v>5.8140000000000001</v>
      </c>
      <c r="Q160" s="145">
        <v>0</v>
      </c>
      <c r="R160" s="145">
        <f>Q160*H160</f>
        <v>0</v>
      </c>
      <c r="S160" s="145">
        <v>0</v>
      </c>
      <c r="T160" s="146">
        <f>S160*H160</f>
        <v>0</v>
      </c>
      <c r="U160" s="31"/>
      <c r="V160" s="31"/>
      <c r="W160" s="31"/>
      <c r="X160" s="31"/>
      <c r="Y160" s="31"/>
      <c r="Z160" s="31"/>
      <c r="AA160" s="31"/>
      <c r="AB160" s="31"/>
      <c r="AC160" s="31"/>
      <c r="AD160" s="31"/>
      <c r="AE160" s="31"/>
      <c r="AR160" s="147" t="s">
        <v>200</v>
      </c>
      <c r="AT160" s="147" t="s">
        <v>141</v>
      </c>
      <c r="AU160" s="147" t="s">
        <v>82</v>
      </c>
      <c r="AY160" s="19" t="s">
        <v>138</v>
      </c>
      <c r="BE160" s="148">
        <f>IF(N160="základní",J160,0)</f>
        <v>0</v>
      </c>
      <c r="BF160" s="148">
        <f>IF(N160="snížená",J160,0)</f>
        <v>0</v>
      </c>
      <c r="BG160" s="148">
        <f>IF(N160="zákl. přenesená",J160,0)</f>
        <v>0</v>
      </c>
      <c r="BH160" s="148">
        <f>IF(N160="sníž. přenesená",J160,0)</f>
        <v>0</v>
      </c>
      <c r="BI160" s="148">
        <f>IF(N160="nulová",J160,0)</f>
        <v>0</v>
      </c>
      <c r="BJ160" s="19" t="s">
        <v>80</v>
      </c>
      <c r="BK160" s="148">
        <f>ROUND(I160*H160,2)</f>
        <v>0</v>
      </c>
      <c r="BL160" s="19" t="s">
        <v>200</v>
      </c>
      <c r="BM160" s="147" t="s">
        <v>896</v>
      </c>
    </row>
    <row r="161" spans="1:65" s="13" customFormat="1">
      <c r="B161" s="149"/>
      <c r="D161" s="150" t="s">
        <v>145</v>
      </c>
      <c r="E161" s="151" t="s">
        <v>3</v>
      </c>
      <c r="F161" s="152" t="s">
        <v>837</v>
      </c>
      <c r="H161" s="151" t="s">
        <v>3</v>
      </c>
      <c r="L161" s="149"/>
      <c r="M161" s="153"/>
      <c r="N161" s="154"/>
      <c r="O161" s="154"/>
      <c r="P161" s="154"/>
      <c r="Q161" s="154"/>
      <c r="R161" s="154"/>
      <c r="S161" s="154"/>
      <c r="T161" s="155"/>
      <c r="AT161" s="151" t="s">
        <v>145</v>
      </c>
      <c r="AU161" s="151" t="s">
        <v>82</v>
      </c>
      <c r="AV161" s="13" t="s">
        <v>80</v>
      </c>
      <c r="AW161" s="13" t="s">
        <v>34</v>
      </c>
      <c r="AX161" s="13" t="s">
        <v>72</v>
      </c>
      <c r="AY161" s="151" t="s">
        <v>138</v>
      </c>
    </row>
    <row r="162" spans="1:65" s="14" customFormat="1">
      <c r="B162" s="156"/>
      <c r="D162" s="150" t="s">
        <v>145</v>
      </c>
      <c r="E162" s="157" t="s">
        <v>3</v>
      </c>
      <c r="F162" s="158" t="s">
        <v>1383</v>
      </c>
      <c r="H162" s="159">
        <v>19</v>
      </c>
      <c r="L162" s="156"/>
      <c r="M162" s="160"/>
      <c r="N162" s="161"/>
      <c r="O162" s="161"/>
      <c r="P162" s="161"/>
      <c r="Q162" s="161"/>
      <c r="R162" s="161"/>
      <c r="S162" s="161"/>
      <c r="T162" s="162"/>
      <c r="AT162" s="157" t="s">
        <v>145</v>
      </c>
      <c r="AU162" s="157" t="s">
        <v>82</v>
      </c>
      <c r="AV162" s="14" t="s">
        <v>82</v>
      </c>
      <c r="AW162" s="14" t="s">
        <v>34</v>
      </c>
      <c r="AX162" s="14" t="s">
        <v>80</v>
      </c>
      <c r="AY162" s="157" t="s">
        <v>138</v>
      </c>
    </row>
    <row r="163" spans="1:65" s="2" customFormat="1" ht="14.45" customHeight="1">
      <c r="A163" s="31"/>
      <c r="B163" s="136"/>
      <c r="C163" s="173">
        <v>27</v>
      </c>
      <c r="D163" s="173" t="s">
        <v>164</v>
      </c>
      <c r="E163" s="174" t="s">
        <v>897</v>
      </c>
      <c r="F163" s="175" t="s">
        <v>898</v>
      </c>
      <c r="G163" s="176" t="s">
        <v>147</v>
      </c>
      <c r="H163" s="177">
        <f>H160</f>
        <v>19</v>
      </c>
      <c r="I163" s="178"/>
      <c r="J163" s="178">
        <f>ROUND(I163*H163,2)</f>
        <v>0</v>
      </c>
      <c r="K163" s="175" t="s">
        <v>148</v>
      </c>
      <c r="L163" s="179"/>
      <c r="M163" s="180" t="s">
        <v>3</v>
      </c>
      <c r="N163" s="181" t="s">
        <v>43</v>
      </c>
      <c r="O163" s="145">
        <v>0</v>
      </c>
      <c r="P163" s="145">
        <f>O163*H163</f>
        <v>0</v>
      </c>
      <c r="Q163" s="145">
        <v>5.0000000000000002E-5</v>
      </c>
      <c r="R163" s="145">
        <f>Q163*H163</f>
        <v>9.5E-4</v>
      </c>
      <c r="S163" s="145">
        <v>0</v>
      </c>
      <c r="T163" s="146">
        <f>S163*H163</f>
        <v>0</v>
      </c>
      <c r="U163" s="31"/>
      <c r="V163" s="31"/>
      <c r="W163" s="31"/>
      <c r="X163" s="31"/>
      <c r="Y163" s="31"/>
      <c r="Z163" s="31"/>
      <c r="AA163" s="31"/>
      <c r="AB163" s="31"/>
      <c r="AC163" s="31"/>
      <c r="AD163" s="31"/>
      <c r="AE163" s="31"/>
      <c r="AR163" s="147" t="s">
        <v>224</v>
      </c>
      <c r="AT163" s="147" t="s">
        <v>164</v>
      </c>
      <c r="AU163" s="147" t="s">
        <v>82</v>
      </c>
      <c r="AY163" s="19" t="s">
        <v>138</v>
      </c>
      <c r="BE163" s="148">
        <f>IF(N163="základní",J163,0)</f>
        <v>0</v>
      </c>
      <c r="BF163" s="148">
        <f>IF(N163="snížená",J163,0)</f>
        <v>0</v>
      </c>
      <c r="BG163" s="148">
        <f>IF(N163="zákl. přenesená",J163,0)</f>
        <v>0</v>
      </c>
      <c r="BH163" s="148">
        <f>IF(N163="sníž. přenesená",J163,0)</f>
        <v>0</v>
      </c>
      <c r="BI163" s="148">
        <f>IF(N163="nulová",J163,0)</f>
        <v>0</v>
      </c>
      <c r="BJ163" s="19" t="s">
        <v>80</v>
      </c>
      <c r="BK163" s="148">
        <f>ROUND(I163*H163,2)</f>
        <v>0</v>
      </c>
      <c r="BL163" s="19" t="s">
        <v>200</v>
      </c>
      <c r="BM163" s="147" t="s">
        <v>899</v>
      </c>
    </row>
    <row r="164" spans="1:65" s="2" customFormat="1" ht="19.5">
      <c r="A164" s="31"/>
      <c r="B164" s="32"/>
      <c r="C164" s="31"/>
      <c r="D164" s="150" t="s">
        <v>242</v>
      </c>
      <c r="E164" s="31"/>
      <c r="F164" s="163" t="s">
        <v>900</v>
      </c>
      <c r="G164" s="31"/>
      <c r="H164" s="31"/>
      <c r="I164" s="31"/>
      <c r="J164" s="31"/>
      <c r="K164" s="31"/>
      <c r="L164" s="32"/>
      <c r="M164" s="164"/>
      <c r="N164" s="165"/>
      <c r="O164" s="52"/>
      <c r="P164" s="52"/>
      <c r="Q164" s="52"/>
      <c r="R164" s="52"/>
      <c r="S164" s="52"/>
      <c r="T164" s="53"/>
      <c r="U164" s="31"/>
      <c r="V164" s="31"/>
      <c r="W164" s="31"/>
      <c r="X164" s="31"/>
      <c r="Y164" s="31"/>
      <c r="Z164" s="31"/>
      <c r="AA164" s="31"/>
      <c r="AB164" s="31"/>
      <c r="AC164" s="31"/>
      <c r="AD164" s="31"/>
      <c r="AE164" s="31"/>
      <c r="AT164" s="19" t="s">
        <v>242</v>
      </c>
      <c r="AU164" s="19" t="s">
        <v>82</v>
      </c>
    </row>
    <row r="165" spans="1:65" s="2" customFormat="1" ht="37.9" customHeight="1">
      <c r="A165" s="31"/>
      <c r="B165" s="136"/>
      <c r="C165" s="137">
        <v>28</v>
      </c>
      <c r="D165" s="137" t="s">
        <v>141</v>
      </c>
      <c r="E165" s="138" t="s">
        <v>901</v>
      </c>
      <c r="F165" s="139" t="s">
        <v>902</v>
      </c>
      <c r="G165" s="140" t="s">
        <v>147</v>
      </c>
      <c r="H165" s="141">
        <f>H167</f>
        <v>3</v>
      </c>
      <c r="I165" s="142"/>
      <c r="J165" s="142">
        <f>ROUND(I165*H165,2)</f>
        <v>0</v>
      </c>
      <c r="K165" s="139" t="s">
        <v>148</v>
      </c>
      <c r="L165" s="32"/>
      <c r="M165" s="143" t="s">
        <v>3</v>
      </c>
      <c r="N165" s="144" t="s">
        <v>43</v>
      </c>
      <c r="O165" s="145">
        <v>0.34799999999999998</v>
      </c>
      <c r="P165" s="145">
        <f>O165*H165</f>
        <v>1.044</v>
      </c>
      <c r="Q165" s="145">
        <v>0</v>
      </c>
      <c r="R165" s="145">
        <f>Q165*H165</f>
        <v>0</v>
      </c>
      <c r="S165" s="145">
        <v>0</v>
      </c>
      <c r="T165" s="146">
        <f>S165*H165</f>
        <v>0</v>
      </c>
      <c r="U165" s="31"/>
      <c r="V165" s="31"/>
      <c r="W165" s="31"/>
      <c r="X165" s="31"/>
      <c r="Y165" s="31"/>
      <c r="Z165" s="31"/>
      <c r="AA165" s="31"/>
      <c r="AB165" s="31"/>
      <c r="AC165" s="31"/>
      <c r="AD165" s="31"/>
      <c r="AE165" s="31"/>
      <c r="AR165" s="147" t="s">
        <v>200</v>
      </c>
      <c r="AT165" s="147" t="s">
        <v>141</v>
      </c>
      <c r="AU165" s="147" t="s">
        <v>82</v>
      </c>
      <c r="AY165" s="19" t="s">
        <v>138</v>
      </c>
      <c r="BE165" s="148">
        <f>IF(N165="základní",J165,0)</f>
        <v>0</v>
      </c>
      <c r="BF165" s="148">
        <f>IF(N165="snížená",J165,0)</f>
        <v>0</v>
      </c>
      <c r="BG165" s="148">
        <f>IF(N165="zákl. přenesená",J165,0)</f>
        <v>0</v>
      </c>
      <c r="BH165" s="148">
        <f>IF(N165="sníž. přenesená",J165,0)</f>
        <v>0</v>
      </c>
      <c r="BI165" s="148">
        <f>IF(N165="nulová",J165,0)</f>
        <v>0</v>
      </c>
      <c r="BJ165" s="19" t="s">
        <v>80</v>
      </c>
      <c r="BK165" s="148">
        <f>ROUND(I165*H165,2)</f>
        <v>0</v>
      </c>
      <c r="BL165" s="19" t="s">
        <v>200</v>
      </c>
      <c r="BM165" s="147" t="s">
        <v>903</v>
      </c>
    </row>
    <row r="166" spans="1:65" s="13" customFormat="1">
      <c r="B166" s="149"/>
      <c r="D166" s="150" t="s">
        <v>145</v>
      </c>
      <c r="E166" s="151" t="s">
        <v>3</v>
      </c>
      <c r="F166" s="152" t="s">
        <v>837</v>
      </c>
      <c r="H166" s="151" t="s">
        <v>3</v>
      </c>
      <c r="L166" s="149"/>
      <c r="M166" s="153"/>
      <c r="N166" s="154"/>
      <c r="O166" s="154"/>
      <c r="P166" s="154"/>
      <c r="Q166" s="154"/>
      <c r="R166" s="154"/>
      <c r="S166" s="154"/>
      <c r="T166" s="155"/>
      <c r="AT166" s="151" t="s">
        <v>145</v>
      </c>
      <c r="AU166" s="151" t="s">
        <v>82</v>
      </c>
      <c r="AV166" s="13" t="s">
        <v>80</v>
      </c>
      <c r="AW166" s="13" t="s">
        <v>34</v>
      </c>
      <c r="AX166" s="13" t="s">
        <v>72</v>
      </c>
      <c r="AY166" s="151" t="s">
        <v>138</v>
      </c>
    </row>
    <row r="167" spans="1:65" s="14" customFormat="1">
      <c r="B167" s="156"/>
      <c r="D167" s="150" t="s">
        <v>145</v>
      </c>
      <c r="E167" s="157" t="s">
        <v>3</v>
      </c>
      <c r="F167" s="158" t="s">
        <v>1384</v>
      </c>
      <c r="H167" s="159">
        <v>3</v>
      </c>
      <c r="L167" s="156"/>
      <c r="M167" s="160"/>
      <c r="N167" s="161"/>
      <c r="O167" s="161"/>
      <c r="P167" s="161"/>
      <c r="Q167" s="161"/>
      <c r="R167" s="161"/>
      <c r="S167" s="161"/>
      <c r="T167" s="162"/>
      <c r="AT167" s="157" t="s">
        <v>145</v>
      </c>
      <c r="AU167" s="157" t="s">
        <v>82</v>
      </c>
      <c r="AV167" s="14" t="s">
        <v>82</v>
      </c>
      <c r="AW167" s="14" t="s">
        <v>34</v>
      </c>
      <c r="AX167" s="14" t="s">
        <v>80</v>
      </c>
      <c r="AY167" s="157" t="s">
        <v>138</v>
      </c>
    </row>
    <row r="168" spans="1:65" s="2" customFormat="1" ht="14.45" customHeight="1">
      <c r="A168" s="31"/>
      <c r="B168" s="136"/>
      <c r="C168" s="173">
        <v>29</v>
      </c>
      <c r="D168" s="173" t="s">
        <v>164</v>
      </c>
      <c r="E168" s="174" t="s">
        <v>904</v>
      </c>
      <c r="F168" s="175" t="s">
        <v>905</v>
      </c>
      <c r="G168" s="176" t="s">
        <v>147</v>
      </c>
      <c r="H168" s="177">
        <v>8</v>
      </c>
      <c r="I168" s="178"/>
      <c r="J168" s="178">
        <f>ROUND(I168*H168,2)</f>
        <v>0</v>
      </c>
      <c r="K168" s="175" t="s">
        <v>143</v>
      </c>
      <c r="L168" s="179"/>
      <c r="M168" s="180" t="s">
        <v>3</v>
      </c>
      <c r="N168" s="181" t="s">
        <v>43</v>
      </c>
      <c r="O168" s="145">
        <v>0</v>
      </c>
      <c r="P168" s="145">
        <f>O168*H168</f>
        <v>0</v>
      </c>
      <c r="Q168" s="145">
        <v>1.2E-4</v>
      </c>
      <c r="R168" s="145">
        <f>Q168*H168</f>
        <v>9.6000000000000002E-4</v>
      </c>
      <c r="S168" s="145">
        <v>0</v>
      </c>
      <c r="T168" s="146">
        <f>S168*H168</f>
        <v>0</v>
      </c>
      <c r="U168" s="31"/>
      <c r="V168" s="31"/>
      <c r="W168" s="31"/>
      <c r="X168" s="31"/>
      <c r="Y168" s="31"/>
      <c r="Z168" s="31"/>
      <c r="AA168" s="31"/>
      <c r="AB168" s="31"/>
      <c r="AC168" s="31"/>
      <c r="AD168" s="31"/>
      <c r="AE168" s="31"/>
      <c r="AR168" s="147" t="s">
        <v>224</v>
      </c>
      <c r="AT168" s="147" t="s">
        <v>164</v>
      </c>
      <c r="AU168" s="147" t="s">
        <v>82</v>
      </c>
      <c r="AY168" s="19" t="s">
        <v>138</v>
      </c>
      <c r="BE168" s="148">
        <f>IF(N168="základní",J168,0)</f>
        <v>0</v>
      </c>
      <c r="BF168" s="148">
        <f>IF(N168="snížená",J168,0)</f>
        <v>0</v>
      </c>
      <c r="BG168" s="148">
        <f>IF(N168="zákl. přenesená",J168,0)</f>
        <v>0</v>
      </c>
      <c r="BH168" s="148">
        <f>IF(N168="sníž. přenesená",J168,0)</f>
        <v>0</v>
      </c>
      <c r="BI168" s="148">
        <f>IF(N168="nulová",J168,0)</f>
        <v>0</v>
      </c>
      <c r="BJ168" s="19" t="s">
        <v>80</v>
      </c>
      <c r="BK168" s="148">
        <f>ROUND(I168*H168,2)</f>
        <v>0</v>
      </c>
      <c r="BL168" s="19" t="s">
        <v>200</v>
      </c>
      <c r="BM168" s="147" t="s">
        <v>906</v>
      </c>
    </row>
    <row r="169" spans="1:65" s="2" customFormat="1" ht="19.5">
      <c r="A169" s="31"/>
      <c r="B169" s="32"/>
      <c r="C169" s="31"/>
      <c r="D169" s="150" t="s">
        <v>242</v>
      </c>
      <c r="E169" s="31"/>
      <c r="F169" s="163" t="s">
        <v>900</v>
      </c>
      <c r="G169" s="31"/>
      <c r="H169" s="31"/>
      <c r="I169" s="31"/>
      <c r="J169" s="31"/>
      <c r="K169" s="31"/>
      <c r="L169" s="32"/>
      <c r="M169" s="164"/>
      <c r="N169" s="165"/>
      <c r="O169" s="52"/>
      <c r="P169" s="52"/>
      <c r="Q169" s="52"/>
      <c r="R169" s="52"/>
      <c r="S169" s="52"/>
      <c r="T169" s="53"/>
      <c r="U169" s="31"/>
      <c r="V169" s="31"/>
      <c r="W169" s="31"/>
      <c r="X169" s="31"/>
      <c r="Y169" s="31"/>
      <c r="Z169" s="31"/>
      <c r="AA169" s="31"/>
      <c r="AB169" s="31"/>
      <c r="AC169" s="31"/>
      <c r="AD169" s="31"/>
      <c r="AE169" s="31"/>
      <c r="AT169" s="19" t="s">
        <v>242</v>
      </c>
      <c r="AU169" s="19" t="s">
        <v>82</v>
      </c>
    </row>
    <row r="170" spans="1:65" s="2" customFormat="1" ht="37.9" customHeight="1">
      <c r="A170" s="309"/>
      <c r="B170" s="136"/>
      <c r="C170" s="137">
        <v>30</v>
      </c>
      <c r="D170" s="137" t="s">
        <v>141</v>
      </c>
      <c r="E170" s="138" t="s">
        <v>1385</v>
      </c>
      <c r="F170" s="139" t="s">
        <v>1389</v>
      </c>
      <c r="G170" s="140" t="s">
        <v>147</v>
      </c>
      <c r="H170" s="141">
        <f>H172</f>
        <v>4</v>
      </c>
      <c r="I170" s="142"/>
      <c r="J170" s="142">
        <f>ROUND(I170*H170,2)</f>
        <v>0</v>
      </c>
      <c r="K170" s="139" t="s">
        <v>148</v>
      </c>
      <c r="L170" s="32"/>
      <c r="M170" s="143" t="s">
        <v>3</v>
      </c>
      <c r="N170" s="144" t="s">
        <v>43</v>
      </c>
      <c r="O170" s="145">
        <v>0.34799999999999998</v>
      </c>
      <c r="P170" s="145">
        <f>O170*H170</f>
        <v>1.3919999999999999</v>
      </c>
      <c r="Q170" s="145">
        <v>0</v>
      </c>
      <c r="R170" s="145">
        <f>Q170*H170</f>
        <v>0</v>
      </c>
      <c r="S170" s="145">
        <v>0</v>
      </c>
      <c r="T170" s="146">
        <f>S170*H170</f>
        <v>0</v>
      </c>
      <c r="U170" s="309"/>
      <c r="V170" s="309"/>
      <c r="W170" s="309"/>
      <c r="X170" s="309"/>
      <c r="Y170" s="309"/>
      <c r="Z170" s="309"/>
      <c r="AA170" s="309"/>
      <c r="AB170" s="309"/>
      <c r="AC170" s="309"/>
      <c r="AD170" s="309"/>
      <c r="AE170" s="309"/>
      <c r="AR170" s="147" t="s">
        <v>200</v>
      </c>
      <c r="AT170" s="147" t="s">
        <v>141</v>
      </c>
      <c r="AU170" s="147" t="s">
        <v>82</v>
      </c>
      <c r="AY170" s="19" t="s">
        <v>138</v>
      </c>
      <c r="BE170" s="148">
        <f>IF(N170="základní",J170,0)</f>
        <v>0</v>
      </c>
      <c r="BF170" s="148">
        <f>IF(N170="snížená",J170,0)</f>
        <v>0</v>
      </c>
      <c r="BG170" s="148">
        <f>IF(N170="zákl. přenesená",J170,0)</f>
        <v>0</v>
      </c>
      <c r="BH170" s="148">
        <f>IF(N170="sníž. přenesená",J170,0)</f>
        <v>0</v>
      </c>
      <c r="BI170" s="148">
        <f>IF(N170="nulová",J170,0)</f>
        <v>0</v>
      </c>
      <c r="BJ170" s="19" t="s">
        <v>80</v>
      </c>
      <c r="BK170" s="148">
        <f>ROUND(I170*H170,2)</f>
        <v>0</v>
      </c>
      <c r="BL170" s="19" t="s">
        <v>200</v>
      </c>
      <c r="BM170" s="147" t="s">
        <v>903</v>
      </c>
    </row>
    <row r="171" spans="1:65" s="13" customFormat="1">
      <c r="B171" s="149"/>
      <c r="D171" s="150" t="s">
        <v>145</v>
      </c>
      <c r="E171" s="151" t="s">
        <v>3</v>
      </c>
      <c r="F171" s="152" t="s">
        <v>837</v>
      </c>
      <c r="H171" s="151" t="s">
        <v>3</v>
      </c>
      <c r="L171" s="149"/>
      <c r="M171" s="153"/>
      <c r="N171" s="154"/>
      <c r="O171" s="154"/>
      <c r="P171" s="154"/>
      <c r="Q171" s="154"/>
      <c r="R171" s="154"/>
      <c r="S171" s="154"/>
      <c r="T171" s="155"/>
      <c r="AT171" s="151" t="s">
        <v>145</v>
      </c>
      <c r="AU171" s="151" t="s">
        <v>82</v>
      </c>
      <c r="AV171" s="13" t="s">
        <v>80</v>
      </c>
      <c r="AW171" s="13" t="s">
        <v>34</v>
      </c>
      <c r="AX171" s="13" t="s">
        <v>72</v>
      </c>
      <c r="AY171" s="151" t="s">
        <v>138</v>
      </c>
    </row>
    <row r="172" spans="1:65" s="14" customFormat="1">
      <c r="B172" s="156"/>
      <c r="D172" s="150" t="s">
        <v>145</v>
      </c>
      <c r="E172" s="157" t="s">
        <v>3</v>
      </c>
      <c r="F172" s="158" t="s">
        <v>1387</v>
      </c>
      <c r="H172" s="159">
        <v>4</v>
      </c>
      <c r="L172" s="156"/>
      <c r="M172" s="160"/>
      <c r="N172" s="161"/>
      <c r="O172" s="161"/>
      <c r="P172" s="161"/>
      <c r="Q172" s="161"/>
      <c r="R172" s="161"/>
      <c r="S172" s="161"/>
      <c r="T172" s="162"/>
      <c r="AT172" s="157" t="s">
        <v>145</v>
      </c>
      <c r="AU172" s="157" t="s">
        <v>82</v>
      </c>
      <c r="AV172" s="14" t="s">
        <v>82</v>
      </c>
      <c r="AW172" s="14" t="s">
        <v>34</v>
      </c>
      <c r="AX172" s="14" t="s">
        <v>80</v>
      </c>
      <c r="AY172" s="157" t="s">
        <v>138</v>
      </c>
    </row>
    <row r="173" spans="1:65" s="2" customFormat="1" ht="14.45" customHeight="1">
      <c r="A173" s="309"/>
      <c r="B173" s="136"/>
      <c r="C173" s="173" t="s">
        <v>220</v>
      </c>
      <c r="D173" s="173" t="s">
        <v>164</v>
      </c>
      <c r="E173" s="174" t="s">
        <v>1386</v>
      </c>
      <c r="F173" s="175" t="s">
        <v>1388</v>
      </c>
      <c r="G173" s="176" t="s">
        <v>147</v>
      </c>
      <c r="H173" s="177">
        <v>4</v>
      </c>
      <c r="I173" s="178"/>
      <c r="J173" s="178">
        <f>ROUND(I173*H173,2)</f>
        <v>0</v>
      </c>
      <c r="K173" s="175" t="s">
        <v>143</v>
      </c>
      <c r="L173" s="179"/>
      <c r="M173" s="180" t="s">
        <v>3</v>
      </c>
      <c r="N173" s="181" t="s">
        <v>43</v>
      </c>
      <c r="O173" s="145">
        <v>0</v>
      </c>
      <c r="P173" s="145">
        <f>O173*H173</f>
        <v>0</v>
      </c>
      <c r="Q173" s="145">
        <v>1.2E-4</v>
      </c>
      <c r="R173" s="145">
        <f>Q173*H173</f>
        <v>4.8000000000000001E-4</v>
      </c>
      <c r="S173" s="145">
        <v>0</v>
      </c>
      <c r="T173" s="146">
        <f>S173*H173</f>
        <v>0</v>
      </c>
      <c r="U173" s="309"/>
      <c r="V173" s="309"/>
      <c r="W173" s="309"/>
      <c r="X173" s="309"/>
      <c r="Y173" s="309"/>
      <c r="Z173" s="309"/>
      <c r="AA173" s="309"/>
      <c r="AB173" s="309"/>
      <c r="AC173" s="309"/>
      <c r="AD173" s="309"/>
      <c r="AE173" s="309"/>
      <c r="AR173" s="147" t="s">
        <v>224</v>
      </c>
      <c r="AT173" s="147" t="s">
        <v>164</v>
      </c>
      <c r="AU173" s="147" t="s">
        <v>82</v>
      </c>
      <c r="AY173" s="19" t="s">
        <v>138</v>
      </c>
      <c r="BE173" s="148">
        <f>IF(N173="základní",J173,0)</f>
        <v>0</v>
      </c>
      <c r="BF173" s="148">
        <f>IF(N173="snížená",J173,0)</f>
        <v>0</v>
      </c>
      <c r="BG173" s="148">
        <f>IF(N173="zákl. přenesená",J173,0)</f>
        <v>0</v>
      </c>
      <c r="BH173" s="148">
        <f>IF(N173="sníž. přenesená",J173,0)</f>
        <v>0</v>
      </c>
      <c r="BI173" s="148">
        <f>IF(N173="nulová",J173,0)</f>
        <v>0</v>
      </c>
      <c r="BJ173" s="19" t="s">
        <v>80</v>
      </c>
      <c r="BK173" s="148">
        <f>ROUND(I173*H173,2)</f>
        <v>0</v>
      </c>
      <c r="BL173" s="19" t="s">
        <v>200</v>
      </c>
      <c r="BM173" s="147" t="s">
        <v>906</v>
      </c>
    </row>
    <row r="174" spans="1:65" s="2" customFormat="1" ht="19.5">
      <c r="A174" s="309"/>
      <c r="B174" s="32"/>
      <c r="C174" s="309"/>
      <c r="D174" s="150" t="s">
        <v>242</v>
      </c>
      <c r="E174" s="309"/>
      <c r="F174" s="163" t="s">
        <v>900</v>
      </c>
      <c r="G174" s="309"/>
      <c r="H174" s="309"/>
      <c r="I174" s="309"/>
      <c r="J174" s="309"/>
      <c r="K174" s="309"/>
      <c r="L174" s="32"/>
      <c r="M174" s="164"/>
      <c r="N174" s="165"/>
      <c r="O174" s="52"/>
      <c r="P174" s="52"/>
      <c r="Q174" s="52"/>
      <c r="R174" s="52"/>
      <c r="S174" s="52"/>
      <c r="T174" s="53"/>
      <c r="U174" s="309"/>
      <c r="V174" s="309"/>
      <c r="W174" s="309"/>
      <c r="X174" s="309"/>
      <c r="Y174" s="309"/>
      <c r="Z174" s="309"/>
      <c r="AA174" s="309"/>
      <c r="AB174" s="309"/>
      <c r="AC174" s="309"/>
      <c r="AD174" s="309"/>
      <c r="AE174" s="309"/>
      <c r="AT174" s="19" t="s">
        <v>242</v>
      </c>
      <c r="AU174" s="19" t="s">
        <v>82</v>
      </c>
    </row>
    <row r="175" spans="1:65" s="2" customFormat="1" ht="37.9" customHeight="1">
      <c r="A175" s="309"/>
      <c r="B175" s="136"/>
      <c r="C175" s="137">
        <v>32</v>
      </c>
      <c r="D175" s="137" t="s">
        <v>141</v>
      </c>
      <c r="E175" s="138" t="s">
        <v>1393</v>
      </c>
      <c r="F175" s="139" t="s">
        <v>1391</v>
      </c>
      <c r="G175" s="140" t="s">
        <v>147</v>
      </c>
      <c r="H175" s="141">
        <f>H177</f>
        <v>5</v>
      </c>
      <c r="I175" s="142"/>
      <c r="J175" s="142">
        <f>ROUND(I175*H175,2)</f>
        <v>0</v>
      </c>
      <c r="K175" s="139" t="s">
        <v>148</v>
      </c>
      <c r="L175" s="32"/>
      <c r="M175" s="143" t="s">
        <v>3</v>
      </c>
      <c r="N175" s="144" t="s">
        <v>43</v>
      </c>
      <c r="O175" s="145">
        <v>0.34799999999999998</v>
      </c>
      <c r="P175" s="145">
        <f>O175*H175</f>
        <v>1.7399999999999998</v>
      </c>
      <c r="Q175" s="145">
        <v>0</v>
      </c>
      <c r="R175" s="145">
        <f>Q175*H175</f>
        <v>0</v>
      </c>
      <c r="S175" s="145">
        <v>0</v>
      </c>
      <c r="T175" s="146">
        <f>S175*H175</f>
        <v>0</v>
      </c>
      <c r="U175" s="309"/>
      <c r="V175" s="309"/>
      <c r="W175" s="309"/>
      <c r="X175" s="309"/>
      <c r="Y175" s="309"/>
      <c r="Z175" s="309"/>
      <c r="AA175" s="309"/>
      <c r="AB175" s="309"/>
      <c r="AC175" s="309"/>
      <c r="AD175" s="309"/>
      <c r="AE175" s="309"/>
      <c r="AR175" s="147" t="s">
        <v>200</v>
      </c>
      <c r="AT175" s="147" t="s">
        <v>141</v>
      </c>
      <c r="AU175" s="147" t="s">
        <v>82</v>
      </c>
      <c r="AY175" s="19" t="s">
        <v>138</v>
      </c>
      <c r="BE175" s="148">
        <f>IF(N175="základní",J175,0)</f>
        <v>0</v>
      </c>
      <c r="BF175" s="148">
        <f>IF(N175="snížená",J175,0)</f>
        <v>0</v>
      </c>
      <c r="BG175" s="148">
        <f>IF(N175="zákl. přenesená",J175,0)</f>
        <v>0</v>
      </c>
      <c r="BH175" s="148">
        <f>IF(N175="sníž. přenesená",J175,0)</f>
        <v>0</v>
      </c>
      <c r="BI175" s="148">
        <f>IF(N175="nulová",J175,0)</f>
        <v>0</v>
      </c>
      <c r="BJ175" s="19" t="s">
        <v>80</v>
      </c>
      <c r="BK175" s="148">
        <f>ROUND(I175*H175,2)</f>
        <v>0</v>
      </c>
      <c r="BL175" s="19" t="s">
        <v>200</v>
      </c>
      <c r="BM175" s="147" t="s">
        <v>903</v>
      </c>
    </row>
    <row r="176" spans="1:65" s="13" customFormat="1">
      <c r="B176" s="149"/>
      <c r="D176" s="150" t="s">
        <v>145</v>
      </c>
      <c r="E176" s="151" t="s">
        <v>3</v>
      </c>
      <c r="F176" s="152" t="s">
        <v>837</v>
      </c>
      <c r="H176" s="151" t="s">
        <v>3</v>
      </c>
      <c r="L176" s="149"/>
      <c r="M176" s="153"/>
      <c r="N176" s="154"/>
      <c r="O176" s="154"/>
      <c r="P176" s="154"/>
      <c r="Q176" s="154"/>
      <c r="R176" s="154"/>
      <c r="S176" s="154"/>
      <c r="T176" s="155"/>
      <c r="AT176" s="151" t="s">
        <v>145</v>
      </c>
      <c r="AU176" s="151" t="s">
        <v>82</v>
      </c>
      <c r="AV176" s="13" t="s">
        <v>80</v>
      </c>
      <c r="AW176" s="13" t="s">
        <v>34</v>
      </c>
      <c r="AX176" s="13" t="s">
        <v>72</v>
      </c>
      <c r="AY176" s="151" t="s">
        <v>138</v>
      </c>
    </row>
    <row r="177" spans="1:65" s="14" customFormat="1">
      <c r="B177" s="156"/>
      <c r="D177" s="150" t="s">
        <v>145</v>
      </c>
      <c r="E177" s="157" t="s">
        <v>3</v>
      </c>
      <c r="F177" s="158" t="s">
        <v>1392</v>
      </c>
      <c r="H177" s="159">
        <v>5</v>
      </c>
      <c r="L177" s="156"/>
      <c r="M177" s="160"/>
      <c r="N177" s="161"/>
      <c r="O177" s="161"/>
      <c r="P177" s="161"/>
      <c r="Q177" s="161"/>
      <c r="R177" s="161"/>
      <c r="S177" s="161"/>
      <c r="T177" s="162"/>
      <c r="AT177" s="157" t="s">
        <v>145</v>
      </c>
      <c r="AU177" s="157" t="s">
        <v>82</v>
      </c>
      <c r="AV177" s="14" t="s">
        <v>82</v>
      </c>
      <c r="AW177" s="14" t="s">
        <v>34</v>
      </c>
      <c r="AX177" s="14" t="s">
        <v>80</v>
      </c>
      <c r="AY177" s="157" t="s">
        <v>138</v>
      </c>
    </row>
    <row r="178" spans="1:65" s="2" customFormat="1" ht="14.45" customHeight="1">
      <c r="A178" s="309"/>
      <c r="B178" s="136"/>
      <c r="C178" s="173">
        <v>33</v>
      </c>
      <c r="D178" s="173" t="s">
        <v>164</v>
      </c>
      <c r="E178" s="174" t="s">
        <v>1394</v>
      </c>
      <c r="F178" s="175" t="s">
        <v>1390</v>
      </c>
      <c r="G178" s="176" t="s">
        <v>147</v>
      </c>
      <c r="H178" s="177">
        <f>H175</f>
        <v>5</v>
      </c>
      <c r="I178" s="178"/>
      <c r="J178" s="178">
        <f>ROUND(I178*H178,2)</f>
        <v>0</v>
      </c>
      <c r="K178" s="175" t="s">
        <v>143</v>
      </c>
      <c r="L178" s="179"/>
      <c r="M178" s="180" t="s">
        <v>3</v>
      </c>
      <c r="N178" s="181" t="s">
        <v>43</v>
      </c>
      <c r="O178" s="145">
        <v>0</v>
      </c>
      <c r="P178" s="145">
        <f>O178*H178</f>
        <v>0</v>
      </c>
      <c r="Q178" s="145">
        <v>1.2E-4</v>
      </c>
      <c r="R178" s="145">
        <f>Q178*H178</f>
        <v>6.0000000000000006E-4</v>
      </c>
      <c r="S178" s="145">
        <v>0</v>
      </c>
      <c r="T178" s="146">
        <f>S178*H178</f>
        <v>0</v>
      </c>
      <c r="U178" s="309"/>
      <c r="V178" s="309"/>
      <c r="W178" s="309"/>
      <c r="X178" s="309"/>
      <c r="Y178" s="309"/>
      <c r="Z178" s="309"/>
      <c r="AA178" s="309"/>
      <c r="AB178" s="309"/>
      <c r="AC178" s="309"/>
      <c r="AD178" s="309"/>
      <c r="AE178" s="309"/>
      <c r="AR178" s="147" t="s">
        <v>224</v>
      </c>
      <c r="AT178" s="147" t="s">
        <v>164</v>
      </c>
      <c r="AU178" s="147" t="s">
        <v>82</v>
      </c>
      <c r="AY178" s="19" t="s">
        <v>138</v>
      </c>
      <c r="BE178" s="148">
        <f>IF(N178="základní",J178,0)</f>
        <v>0</v>
      </c>
      <c r="BF178" s="148">
        <f>IF(N178="snížená",J178,0)</f>
        <v>0</v>
      </c>
      <c r="BG178" s="148">
        <f>IF(N178="zákl. přenesená",J178,0)</f>
        <v>0</v>
      </c>
      <c r="BH178" s="148">
        <f>IF(N178="sníž. přenesená",J178,0)</f>
        <v>0</v>
      </c>
      <c r="BI178" s="148">
        <f>IF(N178="nulová",J178,0)</f>
        <v>0</v>
      </c>
      <c r="BJ178" s="19" t="s">
        <v>80</v>
      </c>
      <c r="BK178" s="148">
        <f>ROUND(I178*H178,2)</f>
        <v>0</v>
      </c>
      <c r="BL178" s="19" t="s">
        <v>200</v>
      </c>
      <c r="BM178" s="147" t="s">
        <v>906</v>
      </c>
    </row>
    <row r="179" spans="1:65" s="2" customFormat="1" ht="19.5">
      <c r="A179" s="309"/>
      <c r="B179" s="32"/>
      <c r="C179" s="309"/>
      <c r="D179" s="150" t="s">
        <v>242</v>
      </c>
      <c r="E179" s="309"/>
      <c r="F179" s="163" t="s">
        <v>900</v>
      </c>
      <c r="G179" s="309"/>
      <c r="H179" s="309"/>
      <c r="I179" s="309"/>
      <c r="J179" s="309"/>
      <c r="K179" s="309"/>
      <c r="L179" s="32"/>
      <c r="M179" s="164"/>
      <c r="N179" s="165"/>
      <c r="O179" s="52"/>
      <c r="P179" s="52"/>
      <c r="Q179" s="52"/>
      <c r="R179" s="52"/>
      <c r="S179" s="52"/>
      <c r="T179" s="53"/>
      <c r="U179" s="309"/>
      <c r="V179" s="309"/>
      <c r="W179" s="309"/>
      <c r="X179" s="309"/>
      <c r="Y179" s="309"/>
      <c r="Z179" s="309"/>
      <c r="AA179" s="309"/>
      <c r="AB179" s="309"/>
      <c r="AC179" s="309"/>
      <c r="AD179" s="309"/>
      <c r="AE179" s="309"/>
      <c r="AT179" s="19" t="s">
        <v>242</v>
      </c>
      <c r="AU179" s="19" t="s">
        <v>82</v>
      </c>
    </row>
    <row r="180" spans="1:65" s="2" customFormat="1" ht="37.9" customHeight="1">
      <c r="A180" s="31"/>
      <c r="B180" s="136"/>
      <c r="C180" s="137">
        <v>34</v>
      </c>
      <c r="D180" s="137" t="s">
        <v>141</v>
      </c>
      <c r="E180" s="138" t="s">
        <v>907</v>
      </c>
      <c r="F180" s="139" t="s">
        <v>908</v>
      </c>
      <c r="G180" s="140" t="s">
        <v>147</v>
      </c>
      <c r="H180" s="141">
        <f>H182</f>
        <v>87</v>
      </c>
      <c r="I180" s="142"/>
      <c r="J180" s="142">
        <f>ROUND(I180*H180,2)</f>
        <v>0</v>
      </c>
      <c r="K180" s="139" t="s">
        <v>148</v>
      </c>
      <c r="L180" s="32"/>
      <c r="M180" s="143" t="s">
        <v>3</v>
      </c>
      <c r="N180" s="144" t="s">
        <v>43</v>
      </c>
      <c r="O180" s="145">
        <v>0.28699999999999998</v>
      </c>
      <c r="P180" s="145">
        <f>O180*H180</f>
        <v>24.968999999999998</v>
      </c>
      <c r="Q180" s="145">
        <v>0</v>
      </c>
      <c r="R180" s="145">
        <f>Q180*H180</f>
        <v>0</v>
      </c>
      <c r="S180" s="145">
        <v>0</v>
      </c>
      <c r="T180" s="146">
        <f>S180*H180</f>
        <v>0</v>
      </c>
      <c r="U180" s="31"/>
      <c r="V180" s="31"/>
      <c r="W180" s="31"/>
      <c r="X180" s="31"/>
      <c r="Y180" s="31"/>
      <c r="Z180" s="31"/>
      <c r="AA180" s="31"/>
      <c r="AB180" s="31"/>
      <c r="AC180" s="31"/>
      <c r="AD180" s="31"/>
      <c r="AE180" s="31"/>
      <c r="AR180" s="147" t="s">
        <v>200</v>
      </c>
      <c r="AT180" s="147" t="s">
        <v>141</v>
      </c>
      <c r="AU180" s="147" t="s">
        <v>82</v>
      </c>
      <c r="AY180" s="19" t="s">
        <v>138</v>
      </c>
      <c r="BE180" s="148">
        <f>IF(N180="základní",J180,0)</f>
        <v>0</v>
      </c>
      <c r="BF180" s="148">
        <f>IF(N180="snížená",J180,0)</f>
        <v>0</v>
      </c>
      <c r="BG180" s="148">
        <f>IF(N180="zákl. přenesená",J180,0)</f>
        <v>0</v>
      </c>
      <c r="BH180" s="148">
        <f>IF(N180="sníž. přenesená",J180,0)</f>
        <v>0</v>
      </c>
      <c r="BI180" s="148">
        <f>IF(N180="nulová",J180,0)</f>
        <v>0</v>
      </c>
      <c r="BJ180" s="19" t="s">
        <v>80</v>
      </c>
      <c r="BK180" s="148">
        <f>ROUND(I180*H180,2)</f>
        <v>0</v>
      </c>
      <c r="BL180" s="19" t="s">
        <v>200</v>
      </c>
      <c r="BM180" s="147" t="s">
        <v>909</v>
      </c>
    </row>
    <row r="181" spans="1:65" s="13" customFormat="1">
      <c r="B181" s="149"/>
      <c r="D181" s="150" t="s">
        <v>145</v>
      </c>
      <c r="E181" s="151" t="s">
        <v>3</v>
      </c>
      <c r="F181" s="152" t="s">
        <v>837</v>
      </c>
      <c r="H181" s="151" t="s">
        <v>3</v>
      </c>
      <c r="L181" s="149"/>
      <c r="M181" s="153"/>
      <c r="N181" s="154"/>
      <c r="O181" s="154"/>
      <c r="P181" s="154"/>
      <c r="Q181" s="154"/>
      <c r="R181" s="154"/>
      <c r="S181" s="154"/>
      <c r="T181" s="155"/>
      <c r="AT181" s="151" t="s">
        <v>145</v>
      </c>
      <c r="AU181" s="151" t="s">
        <v>82</v>
      </c>
      <c r="AV181" s="13" t="s">
        <v>80</v>
      </c>
      <c r="AW181" s="13" t="s">
        <v>34</v>
      </c>
      <c r="AX181" s="13" t="s">
        <v>72</v>
      </c>
      <c r="AY181" s="151" t="s">
        <v>138</v>
      </c>
    </row>
    <row r="182" spans="1:65" s="14" customFormat="1">
      <c r="B182" s="156"/>
      <c r="D182" s="150" t="s">
        <v>145</v>
      </c>
      <c r="E182" s="157" t="s">
        <v>3</v>
      </c>
      <c r="F182" s="158" t="s">
        <v>1395</v>
      </c>
      <c r="H182" s="159">
        <f>53+34</f>
        <v>87</v>
      </c>
      <c r="L182" s="156"/>
      <c r="M182" s="160"/>
      <c r="N182" s="161"/>
      <c r="O182" s="161"/>
      <c r="P182" s="161"/>
      <c r="Q182" s="161"/>
      <c r="R182" s="161"/>
      <c r="S182" s="161"/>
      <c r="T182" s="162"/>
      <c r="AT182" s="157" t="s">
        <v>145</v>
      </c>
      <c r="AU182" s="157" t="s">
        <v>82</v>
      </c>
      <c r="AV182" s="14" t="s">
        <v>82</v>
      </c>
      <c r="AW182" s="14" t="s">
        <v>34</v>
      </c>
      <c r="AX182" s="14" t="s">
        <v>80</v>
      </c>
      <c r="AY182" s="157" t="s">
        <v>138</v>
      </c>
    </row>
    <row r="183" spans="1:65" s="2" customFormat="1" ht="14.45" customHeight="1">
      <c r="A183" s="31"/>
      <c r="B183" s="136"/>
      <c r="C183" s="173">
        <v>35</v>
      </c>
      <c r="D183" s="173" t="s">
        <v>164</v>
      </c>
      <c r="E183" s="174" t="s">
        <v>910</v>
      </c>
      <c r="F183" s="175" t="s">
        <v>911</v>
      </c>
      <c r="G183" s="176" t="s">
        <v>147</v>
      </c>
      <c r="H183" s="177">
        <f>H180</f>
        <v>87</v>
      </c>
      <c r="I183" s="178"/>
      <c r="J183" s="178">
        <f>ROUND(I183*H183,2)</f>
        <v>0</v>
      </c>
      <c r="K183" s="175" t="s">
        <v>148</v>
      </c>
      <c r="L183" s="179"/>
      <c r="M183" s="180" t="s">
        <v>3</v>
      </c>
      <c r="N183" s="181" t="s">
        <v>43</v>
      </c>
      <c r="O183" s="145">
        <v>0</v>
      </c>
      <c r="P183" s="145">
        <f>O183*H183</f>
        <v>0</v>
      </c>
      <c r="Q183" s="145">
        <v>6.0000000000000002E-5</v>
      </c>
      <c r="R183" s="145">
        <f>Q183*H183</f>
        <v>5.2199999999999998E-3</v>
      </c>
      <c r="S183" s="145">
        <v>0</v>
      </c>
      <c r="T183" s="146">
        <f>S183*H183</f>
        <v>0</v>
      </c>
      <c r="U183" s="31"/>
      <c r="V183" s="31"/>
      <c r="W183" s="31"/>
      <c r="X183" s="31"/>
      <c r="Y183" s="31"/>
      <c r="Z183" s="31"/>
      <c r="AA183" s="31"/>
      <c r="AB183" s="31"/>
      <c r="AC183" s="31"/>
      <c r="AD183" s="31"/>
      <c r="AE183" s="31"/>
      <c r="AR183" s="147" t="s">
        <v>224</v>
      </c>
      <c r="AT183" s="147" t="s">
        <v>164</v>
      </c>
      <c r="AU183" s="147" t="s">
        <v>82</v>
      </c>
      <c r="AY183" s="19" t="s">
        <v>138</v>
      </c>
      <c r="BE183" s="148">
        <f>IF(N183="základní",J183,0)</f>
        <v>0</v>
      </c>
      <c r="BF183" s="148">
        <f>IF(N183="snížená",J183,0)</f>
        <v>0</v>
      </c>
      <c r="BG183" s="148">
        <f>IF(N183="zákl. přenesená",J183,0)</f>
        <v>0</v>
      </c>
      <c r="BH183" s="148">
        <f>IF(N183="sníž. přenesená",J183,0)</f>
        <v>0</v>
      </c>
      <c r="BI183" s="148">
        <f>IF(N183="nulová",J183,0)</f>
        <v>0</v>
      </c>
      <c r="BJ183" s="19" t="s">
        <v>80</v>
      </c>
      <c r="BK183" s="148">
        <f>ROUND(I183*H183,2)</f>
        <v>0</v>
      </c>
      <c r="BL183" s="19" t="s">
        <v>200</v>
      </c>
      <c r="BM183" s="147" t="s">
        <v>912</v>
      </c>
    </row>
    <row r="184" spans="1:65" s="2" customFormat="1" ht="19.5">
      <c r="A184" s="31"/>
      <c r="B184" s="32"/>
      <c r="C184" s="31"/>
      <c r="D184" s="150" t="s">
        <v>242</v>
      </c>
      <c r="E184" s="31"/>
      <c r="F184" s="163" t="s">
        <v>900</v>
      </c>
      <c r="G184" s="31"/>
      <c r="H184" s="31"/>
      <c r="I184" s="31"/>
      <c r="J184" s="31"/>
      <c r="K184" s="31"/>
      <c r="L184" s="32"/>
      <c r="M184" s="164"/>
      <c r="N184" s="165"/>
      <c r="O184" s="52"/>
      <c r="P184" s="52"/>
      <c r="Q184" s="52"/>
      <c r="R184" s="52"/>
      <c r="S184" s="52"/>
      <c r="T184" s="53"/>
      <c r="U184" s="31"/>
      <c r="V184" s="31"/>
      <c r="W184" s="31"/>
      <c r="X184" s="31"/>
      <c r="Y184" s="31"/>
      <c r="Z184" s="31"/>
      <c r="AA184" s="31"/>
      <c r="AB184" s="31"/>
      <c r="AC184" s="31"/>
      <c r="AD184" s="31"/>
      <c r="AE184" s="31"/>
      <c r="AT184" s="19" t="s">
        <v>242</v>
      </c>
      <c r="AU184" s="19" t="s">
        <v>82</v>
      </c>
    </row>
    <row r="185" spans="1:65" s="2" customFormat="1" ht="37.9" customHeight="1">
      <c r="A185" s="31"/>
      <c r="B185" s="136"/>
      <c r="C185" s="137">
        <v>36</v>
      </c>
      <c r="D185" s="137" t="s">
        <v>141</v>
      </c>
      <c r="E185" s="138" t="s">
        <v>913</v>
      </c>
      <c r="F185" s="139" t="s">
        <v>914</v>
      </c>
      <c r="G185" s="140" t="s">
        <v>147</v>
      </c>
      <c r="H185" s="141">
        <f>H187</f>
        <v>34</v>
      </c>
      <c r="I185" s="142"/>
      <c r="J185" s="142">
        <f>ROUND(I185*H185,2)</f>
        <v>0</v>
      </c>
      <c r="K185" s="139" t="s">
        <v>148</v>
      </c>
      <c r="L185" s="32"/>
      <c r="M185" s="143" t="s">
        <v>3</v>
      </c>
      <c r="N185" s="144" t="s">
        <v>43</v>
      </c>
      <c r="O185" s="145">
        <v>0.61199999999999999</v>
      </c>
      <c r="P185" s="145">
        <f>O185*H185</f>
        <v>20.808</v>
      </c>
      <c r="Q185" s="145">
        <v>0</v>
      </c>
      <c r="R185" s="145">
        <f>Q185*H185</f>
        <v>0</v>
      </c>
      <c r="S185" s="145">
        <v>0</v>
      </c>
      <c r="T185" s="146">
        <f>S185*H185</f>
        <v>0</v>
      </c>
      <c r="U185" s="31"/>
      <c r="V185" s="31"/>
      <c r="W185" s="31"/>
      <c r="X185" s="31"/>
      <c r="Y185" s="31"/>
      <c r="Z185" s="31"/>
      <c r="AA185" s="31"/>
      <c r="AB185" s="31"/>
      <c r="AC185" s="31"/>
      <c r="AD185" s="31"/>
      <c r="AE185" s="31"/>
      <c r="AR185" s="147" t="s">
        <v>200</v>
      </c>
      <c r="AT185" s="147" t="s">
        <v>141</v>
      </c>
      <c r="AU185" s="147" t="s">
        <v>82</v>
      </c>
      <c r="AY185" s="19" t="s">
        <v>138</v>
      </c>
      <c r="BE185" s="148">
        <f>IF(N185="základní",J185,0)</f>
        <v>0</v>
      </c>
      <c r="BF185" s="148">
        <f>IF(N185="snížená",J185,0)</f>
        <v>0</v>
      </c>
      <c r="BG185" s="148">
        <f>IF(N185="zákl. přenesená",J185,0)</f>
        <v>0</v>
      </c>
      <c r="BH185" s="148">
        <f>IF(N185="sníž. přenesená",J185,0)</f>
        <v>0</v>
      </c>
      <c r="BI185" s="148">
        <f>IF(N185="nulová",J185,0)</f>
        <v>0</v>
      </c>
      <c r="BJ185" s="19" t="s">
        <v>80</v>
      </c>
      <c r="BK185" s="148">
        <f>ROUND(I185*H185,2)</f>
        <v>0</v>
      </c>
      <c r="BL185" s="19" t="s">
        <v>200</v>
      </c>
      <c r="BM185" s="147" t="s">
        <v>915</v>
      </c>
    </row>
    <row r="186" spans="1:65" s="13" customFormat="1">
      <c r="B186" s="149"/>
      <c r="D186" s="150" t="s">
        <v>145</v>
      </c>
      <c r="E186" s="151" t="s">
        <v>3</v>
      </c>
      <c r="F186" s="152" t="s">
        <v>837</v>
      </c>
      <c r="H186" s="151" t="s">
        <v>3</v>
      </c>
      <c r="L186" s="149"/>
      <c r="M186" s="153"/>
      <c r="N186" s="154"/>
      <c r="O186" s="154"/>
      <c r="P186" s="154"/>
      <c r="Q186" s="154"/>
      <c r="R186" s="154"/>
      <c r="S186" s="154"/>
      <c r="T186" s="155"/>
      <c r="AT186" s="151" t="s">
        <v>145</v>
      </c>
      <c r="AU186" s="151" t="s">
        <v>82</v>
      </c>
      <c r="AV186" s="13" t="s">
        <v>80</v>
      </c>
      <c r="AW186" s="13" t="s">
        <v>34</v>
      </c>
      <c r="AX186" s="13" t="s">
        <v>72</v>
      </c>
      <c r="AY186" s="151" t="s">
        <v>138</v>
      </c>
    </row>
    <row r="187" spans="1:65" s="14" customFormat="1">
      <c r="B187" s="156"/>
      <c r="D187" s="150" t="s">
        <v>145</v>
      </c>
      <c r="E187" s="157" t="s">
        <v>3</v>
      </c>
      <c r="F187" s="158" t="s">
        <v>1396</v>
      </c>
      <c r="H187" s="159">
        <f>17+17</f>
        <v>34</v>
      </c>
      <c r="I187" s="280"/>
      <c r="L187" s="156"/>
      <c r="M187" s="160"/>
      <c r="N187" s="161"/>
      <c r="O187" s="161"/>
      <c r="P187" s="161"/>
      <c r="Q187" s="161"/>
      <c r="R187" s="161"/>
      <c r="S187" s="161"/>
      <c r="T187" s="162"/>
      <c r="AT187" s="157" t="s">
        <v>145</v>
      </c>
      <c r="AU187" s="157" t="s">
        <v>82</v>
      </c>
      <c r="AV187" s="14" t="s">
        <v>82</v>
      </c>
      <c r="AW187" s="14" t="s">
        <v>34</v>
      </c>
      <c r="AX187" s="14" t="s">
        <v>80</v>
      </c>
      <c r="AY187" s="157" t="s">
        <v>138</v>
      </c>
    </row>
    <row r="188" spans="1:65" s="2" customFormat="1" ht="14.45" customHeight="1">
      <c r="A188" s="31"/>
      <c r="B188" s="136"/>
      <c r="C188" s="173">
        <v>37</v>
      </c>
      <c r="D188" s="173" t="s">
        <v>164</v>
      </c>
      <c r="E188" s="174" t="s">
        <v>916</v>
      </c>
      <c r="F188" s="175" t="s">
        <v>917</v>
      </c>
      <c r="G188" s="176" t="s">
        <v>147</v>
      </c>
      <c r="H188" s="177">
        <f>H187</f>
        <v>34</v>
      </c>
      <c r="I188" s="281"/>
      <c r="J188" s="178">
        <f>ROUND(I188*H188,2)</f>
        <v>0</v>
      </c>
      <c r="K188" s="175" t="s">
        <v>143</v>
      </c>
      <c r="L188" s="179"/>
      <c r="M188" s="180" t="s">
        <v>3</v>
      </c>
      <c r="N188" s="181" t="s">
        <v>43</v>
      </c>
      <c r="O188" s="145">
        <v>0</v>
      </c>
      <c r="P188" s="145">
        <f>O188*H188</f>
        <v>0</v>
      </c>
      <c r="Q188" s="145">
        <v>0</v>
      </c>
      <c r="R188" s="145">
        <f>Q188*H188</f>
        <v>0</v>
      </c>
      <c r="S188" s="145">
        <v>0</v>
      </c>
      <c r="T188" s="146">
        <f>S188*H188</f>
        <v>0</v>
      </c>
      <c r="U188" s="31"/>
      <c r="V188" s="275"/>
      <c r="W188" s="275"/>
      <c r="X188" s="31"/>
      <c r="Y188" s="31"/>
      <c r="Z188" s="31"/>
      <c r="AA188" s="31"/>
      <c r="AB188" s="31"/>
      <c r="AC188" s="31"/>
      <c r="AD188" s="31"/>
      <c r="AE188" s="31"/>
      <c r="AR188" s="147" t="s">
        <v>224</v>
      </c>
      <c r="AT188" s="147" t="s">
        <v>164</v>
      </c>
      <c r="AU188" s="147" t="s">
        <v>82</v>
      </c>
      <c r="AY188" s="19" t="s">
        <v>138</v>
      </c>
      <c r="BE188" s="148">
        <f>IF(N188="základní",J188,0)</f>
        <v>0</v>
      </c>
      <c r="BF188" s="148">
        <f>IF(N188="snížená",J188,0)</f>
        <v>0</v>
      </c>
      <c r="BG188" s="148">
        <f>IF(N188="zákl. přenesená",J188,0)</f>
        <v>0</v>
      </c>
      <c r="BH188" s="148">
        <f>IF(N188="sníž. přenesená",J188,0)</f>
        <v>0</v>
      </c>
      <c r="BI188" s="148">
        <f>IF(N188="nulová",J188,0)</f>
        <v>0</v>
      </c>
      <c r="BJ188" s="19" t="s">
        <v>80</v>
      </c>
      <c r="BK188" s="148">
        <f>ROUND(I188*H188,2)</f>
        <v>0</v>
      </c>
      <c r="BL188" s="19" t="s">
        <v>200</v>
      </c>
      <c r="BM188" s="147" t="s">
        <v>918</v>
      </c>
    </row>
    <row r="189" spans="1:65" s="2" customFormat="1" ht="37.9" customHeight="1">
      <c r="A189" s="31"/>
      <c r="B189" s="136"/>
      <c r="C189" s="137">
        <v>38</v>
      </c>
      <c r="D189" s="137" t="s">
        <v>141</v>
      </c>
      <c r="E189" s="138" t="s">
        <v>919</v>
      </c>
      <c r="F189" s="139" t="s">
        <v>920</v>
      </c>
      <c r="G189" s="140" t="s">
        <v>147</v>
      </c>
      <c r="H189" s="141">
        <f>H191</f>
        <v>6</v>
      </c>
      <c r="I189" s="278"/>
      <c r="J189" s="142">
        <f>ROUND(I189*H189,2)</f>
        <v>0</v>
      </c>
      <c r="K189" s="139" t="s">
        <v>148</v>
      </c>
      <c r="L189" s="32"/>
      <c r="M189" s="143" t="s">
        <v>3</v>
      </c>
      <c r="N189" s="144" t="s">
        <v>43</v>
      </c>
      <c r="O189" s="145">
        <v>0.79200000000000004</v>
      </c>
      <c r="P189" s="145">
        <f>O189*H189</f>
        <v>4.7520000000000007</v>
      </c>
      <c r="Q189" s="145">
        <v>0</v>
      </c>
      <c r="R189" s="145">
        <f>Q189*H189</f>
        <v>0</v>
      </c>
      <c r="S189" s="145">
        <v>0</v>
      </c>
      <c r="T189" s="146">
        <f>S189*H189</f>
        <v>0</v>
      </c>
      <c r="U189" s="31"/>
      <c r="V189" s="31"/>
      <c r="W189" s="31"/>
      <c r="X189" s="31"/>
      <c r="Y189" s="31"/>
      <c r="Z189" s="31"/>
      <c r="AA189" s="31"/>
      <c r="AB189" s="31"/>
      <c r="AC189" s="31"/>
      <c r="AD189" s="31"/>
      <c r="AE189" s="31"/>
      <c r="AR189" s="147" t="s">
        <v>200</v>
      </c>
      <c r="AT189" s="147" t="s">
        <v>141</v>
      </c>
      <c r="AU189" s="147" t="s">
        <v>82</v>
      </c>
      <c r="AY189" s="19" t="s">
        <v>138</v>
      </c>
      <c r="BE189" s="148">
        <f>IF(N189="základní",J189,0)</f>
        <v>0</v>
      </c>
      <c r="BF189" s="148">
        <f>IF(N189="snížená",J189,0)</f>
        <v>0</v>
      </c>
      <c r="BG189" s="148">
        <f>IF(N189="zákl. přenesená",J189,0)</f>
        <v>0</v>
      </c>
      <c r="BH189" s="148">
        <f>IF(N189="sníž. přenesená",J189,0)</f>
        <v>0</v>
      </c>
      <c r="BI189" s="148">
        <f>IF(N189="nulová",J189,0)</f>
        <v>0</v>
      </c>
      <c r="BJ189" s="19" t="s">
        <v>80</v>
      </c>
      <c r="BK189" s="148">
        <f>ROUND(I189*H189,2)</f>
        <v>0</v>
      </c>
      <c r="BL189" s="19" t="s">
        <v>200</v>
      </c>
      <c r="BM189" s="147" t="s">
        <v>921</v>
      </c>
    </row>
    <row r="190" spans="1:65" s="13" customFormat="1">
      <c r="B190" s="149"/>
      <c r="D190" s="150" t="s">
        <v>145</v>
      </c>
      <c r="E190" s="151" t="s">
        <v>3</v>
      </c>
      <c r="F190" s="152" t="s">
        <v>837</v>
      </c>
      <c r="H190" s="151" t="s">
        <v>3</v>
      </c>
      <c r="I190" s="282"/>
      <c r="L190" s="149"/>
      <c r="M190" s="153"/>
      <c r="N190" s="154"/>
      <c r="O190" s="154"/>
      <c r="P190" s="154"/>
      <c r="Q190" s="154"/>
      <c r="R190" s="154"/>
      <c r="S190" s="154"/>
      <c r="T190" s="155"/>
      <c r="AT190" s="151" t="s">
        <v>145</v>
      </c>
      <c r="AU190" s="151" t="s">
        <v>82</v>
      </c>
      <c r="AV190" s="13" t="s">
        <v>80</v>
      </c>
      <c r="AW190" s="13" t="s">
        <v>34</v>
      </c>
      <c r="AX190" s="13" t="s">
        <v>72</v>
      </c>
      <c r="AY190" s="151" t="s">
        <v>138</v>
      </c>
    </row>
    <row r="191" spans="1:65" s="14" customFormat="1">
      <c r="B191" s="156"/>
      <c r="D191" s="150" t="s">
        <v>145</v>
      </c>
      <c r="E191" s="157" t="s">
        <v>3</v>
      </c>
      <c r="F191" s="158" t="s">
        <v>1397</v>
      </c>
      <c r="H191" s="159">
        <v>6</v>
      </c>
      <c r="I191" s="280"/>
      <c r="L191" s="156"/>
      <c r="M191" s="160"/>
      <c r="N191" s="161"/>
      <c r="O191" s="161"/>
      <c r="P191" s="161"/>
      <c r="Q191" s="161"/>
      <c r="R191" s="161"/>
      <c r="S191" s="161"/>
      <c r="T191" s="162"/>
      <c r="AT191" s="157" t="s">
        <v>145</v>
      </c>
      <c r="AU191" s="157" t="s">
        <v>82</v>
      </c>
      <c r="AV191" s="14" t="s">
        <v>82</v>
      </c>
      <c r="AW191" s="14" t="s">
        <v>34</v>
      </c>
      <c r="AX191" s="14" t="s">
        <v>80</v>
      </c>
      <c r="AY191" s="157" t="s">
        <v>138</v>
      </c>
    </row>
    <row r="192" spans="1:65" s="2" customFormat="1" ht="14.45" customHeight="1">
      <c r="A192" s="31"/>
      <c r="B192" s="136"/>
      <c r="C192" s="173">
        <v>39</v>
      </c>
      <c r="D192" s="173" t="s">
        <v>164</v>
      </c>
      <c r="E192" s="174" t="s">
        <v>922</v>
      </c>
      <c r="F192" s="175" t="s">
        <v>923</v>
      </c>
      <c r="G192" s="176" t="s">
        <v>147</v>
      </c>
      <c r="H192" s="177">
        <f>H189</f>
        <v>6</v>
      </c>
      <c r="I192" s="281"/>
      <c r="J192" s="178">
        <f>ROUND(I192*H192,2)</f>
        <v>0</v>
      </c>
      <c r="K192" s="175" t="s">
        <v>143</v>
      </c>
      <c r="L192" s="179"/>
      <c r="M192" s="180" t="s">
        <v>3</v>
      </c>
      <c r="N192" s="181" t="s">
        <v>43</v>
      </c>
      <c r="O192" s="145">
        <v>0</v>
      </c>
      <c r="P192" s="145">
        <f>O192*H192</f>
        <v>0</v>
      </c>
      <c r="Q192" s="145">
        <v>0</v>
      </c>
      <c r="R192" s="145">
        <f>Q192*H192</f>
        <v>0</v>
      </c>
      <c r="S192" s="145">
        <v>0</v>
      </c>
      <c r="T192" s="146">
        <f>S192*H192</f>
        <v>0</v>
      </c>
      <c r="U192" s="31"/>
      <c r="V192" s="275"/>
      <c r="W192" s="275"/>
      <c r="X192" s="31"/>
      <c r="Y192" s="31"/>
      <c r="Z192" s="31"/>
      <c r="AA192" s="31"/>
      <c r="AB192" s="31"/>
      <c r="AC192" s="31"/>
      <c r="AD192" s="31"/>
      <c r="AE192" s="31"/>
      <c r="AR192" s="147" t="s">
        <v>224</v>
      </c>
      <c r="AT192" s="147" t="s">
        <v>164</v>
      </c>
      <c r="AU192" s="147" t="s">
        <v>82</v>
      </c>
      <c r="AY192" s="19" t="s">
        <v>138</v>
      </c>
      <c r="BE192" s="148">
        <f>IF(N192="základní",J192,0)</f>
        <v>0</v>
      </c>
      <c r="BF192" s="148">
        <f>IF(N192="snížená",J192,0)</f>
        <v>0</v>
      </c>
      <c r="BG192" s="148">
        <f>IF(N192="zákl. přenesená",J192,0)</f>
        <v>0</v>
      </c>
      <c r="BH192" s="148">
        <f>IF(N192="sníž. přenesená",J192,0)</f>
        <v>0</v>
      </c>
      <c r="BI192" s="148">
        <f>IF(N192="nulová",J192,0)</f>
        <v>0</v>
      </c>
      <c r="BJ192" s="19" t="s">
        <v>80</v>
      </c>
      <c r="BK192" s="148">
        <f>ROUND(I192*H192,2)</f>
        <v>0</v>
      </c>
      <c r="BL192" s="19" t="s">
        <v>200</v>
      </c>
      <c r="BM192" s="147" t="s">
        <v>924</v>
      </c>
    </row>
    <row r="193" spans="1:65" s="2" customFormat="1" ht="37.9" customHeight="1">
      <c r="A193" s="31"/>
      <c r="B193" s="136"/>
      <c r="C193" s="137">
        <v>40</v>
      </c>
      <c r="D193" s="137" t="s">
        <v>141</v>
      </c>
      <c r="E193" s="138" t="s">
        <v>925</v>
      </c>
      <c r="F193" s="139" t="s">
        <v>926</v>
      </c>
      <c r="G193" s="140" t="s">
        <v>147</v>
      </c>
      <c r="H193" s="141">
        <f>H195</f>
        <v>3</v>
      </c>
      <c r="I193" s="278"/>
      <c r="J193" s="142">
        <f>ROUND(I193*H193,2)</f>
        <v>0</v>
      </c>
      <c r="K193" s="139" t="s">
        <v>148</v>
      </c>
      <c r="L193" s="32"/>
      <c r="M193" s="143" t="s">
        <v>3</v>
      </c>
      <c r="N193" s="144" t="s">
        <v>43</v>
      </c>
      <c r="O193" s="145">
        <v>0.51200000000000001</v>
      </c>
      <c r="P193" s="145">
        <f>O193*H193</f>
        <v>1.536</v>
      </c>
      <c r="Q193" s="145">
        <v>0</v>
      </c>
      <c r="R193" s="145">
        <f>Q193*H193</f>
        <v>0</v>
      </c>
      <c r="S193" s="145">
        <v>0</v>
      </c>
      <c r="T193" s="146">
        <f>S193*H193</f>
        <v>0</v>
      </c>
      <c r="U193" s="31"/>
      <c r="V193" s="31"/>
      <c r="W193" s="31"/>
      <c r="X193" s="31"/>
      <c r="Y193" s="31"/>
      <c r="Z193" s="31"/>
      <c r="AA193" s="31"/>
      <c r="AB193" s="31"/>
      <c r="AC193" s="31"/>
      <c r="AD193" s="31"/>
      <c r="AE193" s="31"/>
      <c r="AR193" s="147" t="s">
        <v>200</v>
      </c>
      <c r="AT193" s="147" t="s">
        <v>141</v>
      </c>
      <c r="AU193" s="147" t="s">
        <v>82</v>
      </c>
      <c r="AY193" s="19" t="s">
        <v>138</v>
      </c>
      <c r="BE193" s="148">
        <f>IF(N193="základní",J193,0)</f>
        <v>0</v>
      </c>
      <c r="BF193" s="148">
        <f>IF(N193="snížená",J193,0)</f>
        <v>0</v>
      </c>
      <c r="BG193" s="148">
        <f>IF(N193="zákl. přenesená",J193,0)</f>
        <v>0</v>
      </c>
      <c r="BH193" s="148">
        <f>IF(N193="sníž. přenesená",J193,0)</f>
        <v>0</v>
      </c>
      <c r="BI193" s="148">
        <f>IF(N193="nulová",J193,0)</f>
        <v>0</v>
      </c>
      <c r="BJ193" s="19" t="s">
        <v>80</v>
      </c>
      <c r="BK193" s="148">
        <f>ROUND(I193*H193,2)</f>
        <v>0</v>
      </c>
      <c r="BL193" s="19" t="s">
        <v>200</v>
      </c>
      <c r="BM193" s="147" t="s">
        <v>927</v>
      </c>
    </row>
    <row r="194" spans="1:65" s="13" customFormat="1">
      <c r="B194" s="149"/>
      <c r="D194" s="150" t="s">
        <v>145</v>
      </c>
      <c r="E194" s="151" t="s">
        <v>3</v>
      </c>
      <c r="F194" s="152" t="s">
        <v>837</v>
      </c>
      <c r="H194" s="151" t="s">
        <v>3</v>
      </c>
      <c r="I194" s="282"/>
      <c r="L194" s="149"/>
      <c r="M194" s="153"/>
      <c r="N194" s="154"/>
      <c r="O194" s="154"/>
      <c r="P194" s="154"/>
      <c r="Q194" s="154"/>
      <c r="R194" s="154"/>
      <c r="S194" s="154"/>
      <c r="T194" s="155"/>
      <c r="AT194" s="151" t="s">
        <v>145</v>
      </c>
      <c r="AU194" s="151" t="s">
        <v>82</v>
      </c>
      <c r="AV194" s="13" t="s">
        <v>80</v>
      </c>
      <c r="AW194" s="13" t="s">
        <v>34</v>
      </c>
      <c r="AX194" s="13" t="s">
        <v>72</v>
      </c>
      <c r="AY194" s="151" t="s">
        <v>138</v>
      </c>
    </row>
    <row r="195" spans="1:65" s="14" customFormat="1">
      <c r="B195" s="156"/>
      <c r="D195" s="150" t="s">
        <v>145</v>
      </c>
      <c r="E195" s="157" t="s">
        <v>3</v>
      </c>
      <c r="F195" s="158" t="s">
        <v>1384</v>
      </c>
      <c r="H195" s="159">
        <v>3</v>
      </c>
      <c r="I195" s="280"/>
      <c r="L195" s="156"/>
      <c r="M195" s="160"/>
      <c r="N195" s="161"/>
      <c r="O195" s="161"/>
      <c r="P195" s="161"/>
      <c r="Q195" s="161"/>
      <c r="R195" s="161"/>
      <c r="S195" s="161"/>
      <c r="T195" s="162"/>
      <c r="AT195" s="157" t="s">
        <v>145</v>
      </c>
      <c r="AU195" s="157" t="s">
        <v>82</v>
      </c>
      <c r="AV195" s="14" t="s">
        <v>82</v>
      </c>
      <c r="AW195" s="14" t="s">
        <v>34</v>
      </c>
      <c r="AX195" s="14" t="s">
        <v>80</v>
      </c>
      <c r="AY195" s="157" t="s">
        <v>138</v>
      </c>
    </row>
    <row r="196" spans="1:65" s="2" customFormat="1" ht="14.45" customHeight="1">
      <c r="A196" s="31"/>
      <c r="B196" s="136"/>
      <c r="C196" s="173">
        <v>41</v>
      </c>
      <c r="D196" s="173" t="s">
        <v>164</v>
      </c>
      <c r="E196" s="174" t="s">
        <v>928</v>
      </c>
      <c r="F196" s="175" t="s">
        <v>1279</v>
      </c>
      <c r="G196" s="176" t="s">
        <v>147</v>
      </c>
      <c r="H196" s="177">
        <f>H193</f>
        <v>3</v>
      </c>
      <c r="I196" s="281"/>
      <c r="J196" s="178">
        <f>ROUND(I196*H196,2)</f>
        <v>0</v>
      </c>
      <c r="K196" s="175" t="s">
        <v>143</v>
      </c>
      <c r="L196" s="179"/>
      <c r="M196" s="180" t="s">
        <v>3</v>
      </c>
      <c r="N196" s="181" t="s">
        <v>43</v>
      </c>
      <c r="O196" s="145">
        <v>0</v>
      </c>
      <c r="P196" s="145">
        <f>O196*H196</f>
        <v>0</v>
      </c>
      <c r="Q196" s="145">
        <v>0</v>
      </c>
      <c r="R196" s="145">
        <f>Q196*H196</f>
        <v>0</v>
      </c>
      <c r="S196" s="145">
        <v>0</v>
      </c>
      <c r="T196" s="146">
        <f>S196*H196</f>
        <v>0</v>
      </c>
      <c r="U196" s="31"/>
      <c r="V196" s="275"/>
      <c r="W196" s="275"/>
      <c r="X196" s="31"/>
      <c r="Y196" s="31"/>
      <c r="Z196" s="31"/>
      <c r="AA196" s="31"/>
      <c r="AB196" s="31"/>
      <c r="AC196" s="31"/>
      <c r="AD196" s="31"/>
      <c r="AE196" s="31"/>
      <c r="AR196" s="147" t="s">
        <v>224</v>
      </c>
      <c r="AT196" s="147" t="s">
        <v>164</v>
      </c>
      <c r="AU196" s="147" t="s">
        <v>82</v>
      </c>
      <c r="AY196" s="19" t="s">
        <v>138</v>
      </c>
      <c r="BE196" s="148">
        <f>IF(N196="základní",J196,0)</f>
        <v>0</v>
      </c>
      <c r="BF196" s="148">
        <f>IF(N196="snížená",J196,0)</f>
        <v>0</v>
      </c>
      <c r="BG196" s="148">
        <f>IF(N196="zákl. přenesená",J196,0)</f>
        <v>0</v>
      </c>
      <c r="BH196" s="148">
        <f>IF(N196="sníž. přenesená",J196,0)</f>
        <v>0</v>
      </c>
      <c r="BI196" s="148">
        <f>IF(N196="nulová",J196,0)</f>
        <v>0</v>
      </c>
      <c r="BJ196" s="19" t="s">
        <v>80</v>
      </c>
      <c r="BK196" s="148">
        <f>ROUND(I196*H196,2)</f>
        <v>0</v>
      </c>
      <c r="BL196" s="19" t="s">
        <v>200</v>
      </c>
      <c r="BM196" s="147" t="s">
        <v>929</v>
      </c>
    </row>
    <row r="197" spans="1:65" s="2" customFormat="1" ht="37.9" customHeight="1">
      <c r="A197" s="31"/>
      <c r="B197" s="136"/>
      <c r="C197" s="137">
        <v>42</v>
      </c>
      <c r="D197" s="137" t="s">
        <v>141</v>
      </c>
      <c r="E197" s="138" t="s">
        <v>930</v>
      </c>
      <c r="F197" s="139" t="s">
        <v>931</v>
      </c>
      <c r="G197" s="140" t="s">
        <v>147</v>
      </c>
      <c r="H197" s="141">
        <f>H199</f>
        <v>4</v>
      </c>
      <c r="I197" s="278"/>
      <c r="J197" s="142">
        <f>ROUND(I197*H197,2)</f>
        <v>0</v>
      </c>
      <c r="K197" s="139" t="s">
        <v>148</v>
      </c>
      <c r="L197" s="32"/>
      <c r="M197" s="143" t="s">
        <v>3</v>
      </c>
      <c r="N197" s="144" t="s">
        <v>43</v>
      </c>
      <c r="O197" s="145">
        <v>0.66</v>
      </c>
      <c r="P197" s="145">
        <f>O197*H197</f>
        <v>2.64</v>
      </c>
      <c r="Q197" s="145">
        <v>0</v>
      </c>
      <c r="R197" s="145">
        <f>Q197*H197</f>
        <v>0</v>
      </c>
      <c r="S197" s="145">
        <v>0</v>
      </c>
      <c r="T197" s="146">
        <f>S197*H197</f>
        <v>0</v>
      </c>
      <c r="U197" s="31"/>
      <c r="V197" s="31"/>
      <c r="W197" s="31"/>
      <c r="X197" s="31"/>
      <c r="Y197" s="31"/>
      <c r="Z197" s="31"/>
      <c r="AA197" s="31"/>
      <c r="AB197" s="31"/>
      <c r="AC197" s="31"/>
      <c r="AD197" s="31"/>
      <c r="AE197" s="31"/>
      <c r="AR197" s="147" t="s">
        <v>200</v>
      </c>
      <c r="AT197" s="147" t="s">
        <v>141</v>
      </c>
      <c r="AU197" s="147" t="s">
        <v>82</v>
      </c>
      <c r="AY197" s="19" t="s">
        <v>138</v>
      </c>
      <c r="BE197" s="148">
        <f>IF(N197="základní",J197,0)</f>
        <v>0</v>
      </c>
      <c r="BF197" s="148">
        <f>IF(N197="snížená",J197,0)</f>
        <v>0</v>
      </c>
      <c r="BG197" s="148">
        <f>IF(N197="zákl. přenesená",J197,0)</f>
        <v>0</v>
      </c>
      <c r="BH197" s="148">
        <f>IF(N197="sníž. přenesená",J197,0)</f>
        <v>0</v>
      </c>
      <c r="BI197" s="148">
        <f>IF(N197="nulová",J197,0)</f>
        <v>0</v>
      </c>
      <c r="BJ197" s="19" t="s">
        <v>80</v>
      </c>
      <c r="BK197" s="148">
        <f>ROUND(I197*H197,2)</f>
        <v>0</v>
      </c>
      <c r="BL197" s="19" t="s">
        <v>200</v>
      </c>
      <c r="BM197" s="147" t="s">
        <v>932</v>
      </c>
    </row>
    <row r="198" spans="1:65" s="13" customFormat="1">
      <c r="B198" s="149"/>
      <c r="D198" s="150" t="s">
        <v>145</v>
      </c>
      <c r="E198" s="151" t="s">
        <v>3</v>
      </c>
      <c r="F198" s="152" t="s">
        <v>837</v>
      </c>
      <c r="H198" s="151" t="s">
        <v>3</v>
      </c>
      <c r="I198" s="282"/>
      <c r="L198" s="149"/>
      <c r="M198" s="153"/>
      <c r="N198" s="154"/>
      <c r="O198" s="154"/>
      <c r="P198" s="154"/>
      <c r="Q198" s="154"/>
      <c r="R198" s="154"/>
      <c r="S198" s="154"/>
      <c r="T198" s="155"/>
      <c r="AT198" s="151" t="s">
        <v>145</v>
      </c>
      <c r="AU198" s="151" t="s">
        <v>82</v>
      </c>
      <c r="AV198" s="13" t="s">
        <v>80</v>
      </c>
      <c r="AW198" s="13" t="s">
        <v>34</v>
      </c>
      <c r="AX198" s="13" t="s">
        <v>72</v>
      </c>
      <c r="AY198" s="151" t="s">
        <v>138</v>
      </c>
    </row>
    <row r="199" spans="1:65" s="14" customFormat="1">
      <c r="B199" s="156"/>
      <c r="D199" s="150" t="s">
        <v>145</v>
      </c>
      <c r="E199" s="157" t="s">
        <v>3</v>
      </c>
      <c r="F199" s="158" t="s">
        <v>1292</v>
      </c>
      <c r="H199" s="159">
        <v>4</v>
      </c>
      <c r="I199" s="280"/>
      <c r="L199" s="156"/>
      <c r="M199" s="160"/>
      <c r="N199" s="161"/>
      <c r="O199" s="161"/>
      <c r="P199" s="161"/>
      <c r="Q199" s="161"/>
      <c r="R199" s="161"/>
      <c r="S199" s="161"/>
      <c r="T199" s="162"/>
      <c r="AT199" s="157" t="s">
        <v>145</v>
      </c>
      <c r="AU199" s="157" t="s">
        <v>82</v>
      </c>
      <c r="AV199" s="14" t="s">
        <v>82</v>
      </c>
      <c r="AW199" s="14" t="s">
        <v>34</v>
      </c>
      <c r="AX199" s="14" t="s">
        <v>80</v>
      </c>
      <c r="AY199" s="157" t="s">
        <v>138</v>
      </c>
    </row>
    <row r="200" spans="1:65" s="2" customFormat="1" ht="14.45" customHeight="1">
      <c r="A200" s="31"/>
      <c r="B200" s="136"/>
      <c r="C200" s="173">
        <v>43</v>
      </c>
      <c r="D200" s="173" t="s">
        <v>164</v>
      </c>
      <c r="E200" s="174" t="s">
        <v>933</v>
      </c>
      <c r="F200" s="175" t="s">
        <v>934</v>
      </c>
      <c r="G200" s="176" t="s">
        <v>147</v>
      </c>
      <c r="H200" s="177">
        <f>H197</f>
        <v>4</v>
      </c>
      <c r="I200" s="281"/>
      <c r="J200" s="178">
        <f>ROUND(I200*H200,2)</f>
        <v>0</v>
      </c>
      <c r="K200" s="175" t="s">
        <v>143</v>
      </c>
      <c r="L200" s="179"/>
      <c r="M200" s="180" t="s">
        <v>3</v>
      </c>
      <c r="N200" s="181" t="s">
        <v>43</v>
      </c>
      <c r="O200" s="145">
        <v>0</v>
      </c>
      <c r="P200" s="145">
        <f>O200*H200</f>
        <v>0</v>
      </c>
      <c r="Q200" s="145">
        <v>0</v>
      </c>
      <c r="R200" s="145">
        <f>Q200*H200</f>
        <v>0</v>
      </c>
      <c r="S200" s="145">
        <v>0</v>
      </c>
      <c r="T200" s="146">
        <f>S200*H200</f>
        <v>0</v>
      </c>
      <c r="U200" s="31"/>
      <c r="V200" s="275"/>
      <c r="W200" s="275"/>
      <c r="X200" s="31"/>
      <c r="Y200" s="31"/>
      <c r="Z200" s="31"/>
      <c r="AA200" s="31"/>
      <c r="AB200" s="31"/>
      <c r="AC200" s="31"/>
      <c r="AD200" s="31"/>
      <c r="AE200" s="31"/>
      <c r="AR200" s="147" t="s">
        <v>224</v>
      </c>
      <c r="AT200" s="147" t="s">
        <v>164</v>
      </c>
      <c r="AU200" s="147" t="s">
        <v>82</v>
      </c>
      <c r="AY200" s="19" t="s">
        <v>138</v>
      </c>
      <c r="BE200" s="148">
        <f>IF(N200="základní",J200,0)</f>
        <v>0</v>
      </c>
      <c r="BF200" s="148">
        <f>IF(N200="snížená",J200,0)</f>
        <v>0</v>
      </c>
      <c r="BG200" s="148">
        <f>IF(N200="zákl. přenesená",J200,0)</f>
        <v>0</v>
      </c>
      <c r="BH200" s="148">
        <f>IF(N200="sníž. přenesená",J200,0)</f>
        <v>0</v>
      </c>
      <c r="BI200" s="148">
        <f>IF(N200="nulová",J200,0)</f>
        <v>0</v>
      </c>
      <c r="BJ200" s="19" t="s">
        <v>80</v>
      </c>
      <c r="BK200" s="148">
        <f>ROUND(I200*H200,2)</f>
        <v>0</v>
      </c>
      <c r="BL200" s="19" t="s">
        <v>200</v>
      </c>
      <c r="BM200" s="147" t="s">
        <v>935</v>
      </c>
    </row>
    <row r="201" spans="1:65" s="2" customFormat="1" ht="37.9" customHeight="1">
      <c r="A201" s="31"/>
      <c r="B201" s="136"/>
      <c r="C201" s="137">
        <v>44</v>
      </c>
      <c r="D201" s="137" t="s">
        <v>141</v>
      </c>
      <c r="E201" s="138" t="s">
        <v>936</v>
      </c>
      <c r="F201" s="139" t="s">
        <v>937</v>
      </c>
      <c r="G201" s="140" t="s">
        <v>147</v>
      </c>
      <c r="H201" s="141">
        <f>H203</f>
        <v>10</v>
      </c>
      <c r="I201" s="278"/>
      <c r="J201" s="142">
        <f>ROUND(I201*H201,2)</f>
        <v>0</v>
      </c>
      <c r="K201" s="139" t="s">
        <v>143</v>
      </c>
      <c r="L201" s="32"/>
      <c r="M201" s="143" t="s">
        <v>3</v>
      </c>
      <c r="N201" s="144" t="s">
        <v>43</v>
      </c>
      <c r="O201" s="145">
        <v>0.61199999999999999</v>
      </c>
      <c r="P201" s="145">
        <f>O201*H201</f>
        <v>6.12</v>
      </c>
      <c r="Q201" s="145">
        <v>0</v>
      </c>
      <c r="R201" s="145">
        <f>Q201*H201</f>
        <v>0</v>
      </c>
      <c r="S201" s="145">
        <v>0</v>
      </c>
      <c r="T201" s="146">
        <f>S201*H201</f>
        <v>0</v>
      </c>
      <c r="U201" s="31"/>
      <c r="V201" s="31"/>
      <c r="W201" s="31"/>
      <c r="X201" s="31"/>
      <c r="Y201" s="31"/>
      <c r="Z201" s="31"/>
      <c r="AA201" s="31"/>
      <c r="AB201" s="31"/>
      <c r="AC201" s="31"/>
      <c r="AD201" s="31"/>
      <c r="AE201" s="31"/>
      <c r="AR201" s="147" t="s">
        <v>200</v>
      </c>
      <c r="AT201" s="147" t="s">
        <v>141</v>
      </c>
      <c r="AU201" s="147" t="s">
        <v>82</v>
      </c>
      <c r="AY201" s="19" t="s">
        <v>138</v>
      </c>
      <c r="BE201" s="148">
        <f>IF(N201="základní",J201,0)</f>
        <v>0</v>
      </c>
      <c r="BF201" s="148">
        <f>IF(N201="snížená",J201,0)</f>
        <v>0</v>
      </c>
      <c r="BG201" s="148">
        <f>IF(N201="zákl. přenesená",J201,0)</f>
        <v>0</v>
      </c>
      <c r="BH201" s="148">
        <f>IF(N201="sníž. přenesená",J201,0)</f>
        <v>0</v>
      </c>
      <c r="BI201" s="148">
        <f>IF(N201="nulová",J201,0)</f>
        <v>0</v>
      </c>
      <c r="BJ201" s="19" t="s">
        <v>80</v>
      </c>
      <c r="BK201" s="148">
        <f>ROUND(I201*H201,2)</f>
        <v>0</v>
      </c>
      <c r="BL201" s="19" t="s">
        <v>200</v>
      </c>
      <c r="BM201" s="147" t="s">
        <v>938</v>
      </c>
    </row>
    <row r="202" spans="1:65" s="13" customFormat="1">
      <c r="B202" s="149"/>
      <c r="D202" s="150" t="s">
        <v>145</v>
      </c>
      <c r="E202" s="151" t="s">
        <v>3</v>
      </c>
      <c r="F202" s="152" t="s">
        <v>837</v>
      </c>
      <c r="H202" s="151" t="s">
        <v>3</v>
      </c>
      <c r="I202" s="282"/>
      <c r="L202" s="149"/>
      <c r="M202" s="153"/>
      <c r="N202" s="154"/>
      <c r="O202" s="154"/>
      <c r="P202" s="154"/>
      <c r="Q202" s="154"/>
      <c r="R202" s="154"/>
      <c r="S202" s="154"/>
      <c r="T202" s="155"/>
      <c r="AT202" s="151" t="s">
        <v>145</v>
      </c>
      <c r="AU202" s="151" t="s">
        <v>82</v>
      </c>
      <c r="AV202" s="13" t="s">
        <v>80</v>
      </c>
      <c r="AW202" s="13" t="s">
        <v>34</v>
      </c>
      <c r="AX202" s="13" t="s">
        <v>72</v>
      </c>
      <c r="AY202" s="151" t="s">
        <v>138</v>
      </c>
    </row>
    <row r="203" spans="1:65" s="14" customFormat="1">
      <c r="B203" s="156"/>
      <c r="D203" s="150" t="s">
        <v>145</v>
      </c>
      <c r="E203" s="157" t="s">
        <v>3</v>
      </c>
      <c r="F203" s="158" t="s">
        <v>1398</v>
      </c>
      <c r="H203" s="159">
        <v>10</v>
      </c>
      <c r="I203" s="280"/>
      <c r="L203" s="156"/>
      <c r="M203" s="160"/>
      <c r="N203" s="161"/>
      <c r="O203" s="161"/>
      <c r="P203" s="161"/>
      <c r="Q203" s="161"/>
      <c r="R203" s="161"/>
      <c r="S203" s="161"/>
      <c r="T203" s="162"/>
      <c r="AT203" s="157" t="s">
        <v>145</v>
      </c>
      <c r="AU203" s="157" t="s">
        <v>82</v>
      </c>
      <c r="AV203" s="14" t="s">
        <v>82</v>
      </c>
      <c r="AW203" s="14" t="s">
        <v>34</v>
      </c>
      <c r="AX203" s="14" t="s">
        <v>80</v>
      </c>
      <c r="AY203" s="157" t="s">
        <v>138</v>
      </c>
    </row>
    <row r="204" spans="1:65" s="2" customFormat="1" ht="14.45" customHeight="1">
      <c r="A204" s="31"/>
      <c r="B204" s="136"/>
      <c r="C204" s="173">
        <v>45</v>
      </c>
      <c r="D204" s="173" t="s">
        <v>164</v>
      </c>
      <c r="E204" s="174" t="s">
        <v>939</v>
      </c>
      <c r="F204" s="175" t="s">
        <v>940</v>
      </c>
      <c r="G204" s="176" t="s">
        <v>147</v>
      </c>
      <c r="H204" s="177">
        <f>H201</f>
        <v>10</v>
      </c>
      <c r="I204" s="281"/>
      <c r="J204" s="178">
        <f>ROUND(I204*H204,2)</f>
        <v>0</v>
      </c>
      <c r="K204" s="175" t="s">
        <v>143</v>
      </c>
      <c r="L204" s="179"/>
      <c r="M204" s="180" t="s">
        <v>3</v>
      </c>
      <c r="N204" s="181" t="s">
        <v>43</v>
      </c>
      <c r="O204" s="145">
        <v>0</v>
      </c>
      <c r="P204" s="145">
        <f>O204*H204</f>
        <v>0</v>
      </c>
      <c r="Q204" s="145">
        <v>0</v>
      </c>
      <c r="R204" s="145">
        <f>Q204*H204</f>
        <v>0</v>
      </c>
      <c r="S204" s="145">
        <v>0</v>
      </c>
      <c r="T204" s="146">
        <f>S204*H204</f>
        <v>0</v>
      </c>
      <c r="U204" s="31"/>
      <c r="V204" s="275"/>
      <c r="W204" s="275"/>
      <c r="X204" s="31"/>
      <c r="Y204" s="31"/>
      <c r="Z204" s="31"/>
      <c r="AA204" s="31"/>
      <c r="AB204" s="31"/>
      <c r="AC204" s="31"/>
      <c r="AD204" s="31"/>
      <c r="AE204" s="31"/>
      <c r="AR204" s="147" t="s">
        <v>224</v>
      </c>
      <c r="AT204" s="147" t="s">
        <v>164</v>
      </c>
      <c r="AU204" s="147" t="s">
        <v>82</v>
      </c>
      <c r="AY204" s="19" t="s">
        <v>138</v>
      </c>
      <c r="BE204" s="148">
        <f>IF(N204="základní",J204,0)</f>
        <v>0</v>
      </c>
      <c r="BF204" s="148">
        <f>IF(N204="snížená",J204,0)</f>
        <v>0</v>
      </c>
      <c r="BG204" s="148">
        <f>IF(N204="zákl. přenesená",J204,0)</f>
        <v>0</v>
      </c>
      <c r="BH204" s="148">
        <f>IF(N204="sníž. přenesená",J204,0)</f>
        <v>0</v>
      </c>
      <c r="BI204" s="148">
        <f>IF(N204="nulová",J204,0)</f>
        <v>0</v>
      </c>
      <c r="BJ204" s="19" t="s">
        <v>80</v>
      </c>
      <c r="BK204" s="148">
        <f>ROUND(I204*H204,2)</f>
        <v>0</v>
      </c>
      <c r="BL204" s="19" t="s">
        <v>200</v>
      </c>
      <c r="BM204" s="147" t="s">
        <v>941</v>
      </c>
    </row>
    <row r="205" spans="1:65" s="2" customFormat="1" ht="37.9" customHeight="1">
      <c r="A205" s="31"/>
      <c r="B205" s="136"/>
      <c r="C205" s="137">
        <v>46</v>
      </c>
      <c r="D205" s="137" t="s">
        <v>141</v>
      </c>
      <c r="E205" s="138" t="s">
        <v>942</v>
      </c>
      <c r="F205" s="139" t="s">
        <v>1399</v>
      </c>
      <c r="G205" s="140" t="s">
        <v>578</v>
      </c>
      <c r="H205" s="141">
        <v>1</v>
      </c>
      <c r="I205" s="278"/>
      <c r="J205" s="142">
        <f>ROUND(I205*H205,2)</f>
        <v>0</v>
      </c>
      <c r="K205" s="139" t="s">
        <v>143</v>
      </c>
      <c r="L205" s="32"/>
      <c r="M205" s="143" t="s">
        <v>3</v>
      </c>
      <c r="N205" s="144" t="s">
        <v>43</v>
      </c>
      <c r="O205" s="145">
        <v>0</v>
      </c>
      <c r="P205" s="145">
        <f>O205*H205</f>
        <v>0</v>
      </c>
      <c r="Q205" s="145">
        <v>0</v>
      </c>
      <c r="R205" s="145">
        <f>Q205*H205</f>
        <v>0</v>
      </c>
      <c r="S205" s="145">
        <v>0</v>
      </c>
      <c r="T205" s="146">
        <f>S205*H205</f>
        <v>0</v>
      </c>
      <c r="U205" s="31"/>
      <c r="V205" s="31"/>
      <c r="W205" s="31"/>
      <c r="X205" s="31"/>
      <c r="Y205" s="31"/>
      <c r="Z205" s="31"/>
      <c r="AA205" s="31"/>
      <c r="AB205" s="31"/>
      <c r="AC205" s="31"/>
      <c r="AD205" s="31"/>
      <c r="AE205" s="31"/>
      <c r="AR205" s="147" t="s">
        <v>200</v>
      </c>
      <c r="AT205" s="147" t="s">
        <v>141</v>
      </c>
      <c r="AU205" s="147" t="s">
        <v>82</v>
      </c>
      <c r="AY205" s="19" t="s">
        <v>138</v>
      </c>
      <c r="BE205" s="148">
        <f>IF(N205="základní",J205,0)</f>
        <v>0</v>
      </c>
      <c r="BF205" s="148">
        <f>IF(N205="snížená",J205,0)</f>
        <v>0</v>
      </c>
      <c r="BG205" s="148">
        <f>IF(N205="zákl. přenesená",J205,0)</f>
        <v>0</v>
      </c>
      <c r="BH205" s="148">
        <f>IF(N205="sníž. přenesená",J205,0)</f>
        <v>0</v>
      </c>
      <c r="BI205" s="148">
        <f>IF(N205="nulová",J205,0)</f>
        <v>0</v>
      </c>
      <c r="BJ205" s="19" t="s">
        <v>80</v>
      </c>
      <c r="BK205" s="148">
        <f>ROUND(I205*H205,2)</f>
        <v>0</v>
      </c>
      <c r="BL205" s="19" t="s">
        <v>200</v>
      </c>
      <c r="BM205" s="147" t="s">
        <v>943</v>
      </c>
    </row>
    <row r="206" spans="1:65" s="13" customFormat="1">
      <c r="B206" s="149"/>
      <c r="D206" s="150" t="s">
        <v>145</v>
      </c>
      <c r="E206" s="151" t="s">
        <v>3</v>
      </c>
      <c r="F206" s="152" t="s">
        <v>837</v>
      </c>
      <c r="H206" s="151" t="s">
        <v>3</v>
      </c>
      <c r="I206" s="282"/>
      <c r="L206" s="149"/>
      <c r="M206" s="153"/>
      <c r="N206" s="154"/>
      <c r="O206" s="154"/>
      <c r="P206" s="154"/>
      <c r="Q206" s="154"/>
      <c r="R206" s="154"/>
      <c r="S206" s="154"/>
      <c r="T206" s="155"/>
      <c r="AT206" s="151" t="s">
        <v>145</v>
      </c>
      <c r="AU206" s="151" t="s">
        <v>82</v>
      </c>
      <c r="AV206" s="13" t="s">
        <v>80</v>
      </c>
      <c r="AW206" s="13" t="s">
        <v>34</v>
      </c>
      <c r="AX206" s="13" t="s">
        <v>72</v>
      </c>
      <c r="AY206" s="151" t="s">
        <v>138</v>
      </c>
    </row>
    <row r="207" spans="1:65" s="14" customFormat="1">
      <c r="B207" s="156"/>
      <c r="D207" s="150" t="s">
        <v>145</v>
      </c>
      <c r="E207" s="157" t="s">
        <v>3</v>
      </c>
      <c r="F207" s="158" t="s">
        <v>80</v>
      </c>
      <c r="H207" s="159">
        <v>1</v>
      </c>
      <c r="L207" s="156"/>
      <c r="M207" s="160"/>
      <c r="N207" s="161"/>
      <c r="O207" s="161"/>
      <c r="P207" s="161"/>
      <c r="Q207" s="161"/>
      <c r="R207" s="161"/>
      <c r="S207" s="161"/>
      <c r="T207" s="162"/>
      <c r="AT207" s="157" t="s">
        <v>145</v>
      </c>
      <c r="AU207" s="157" t="s">
        <v>82</v>
      </c>
      <c r="AV207" s="14" t="s">
        <v>82</v>
      </c>
      <c r="AW207" s="14" t="s">
        <v>34</v>
      </c>
      <c r="AX207" s="14" t="s">
        <v>80</v>
      </c>
      <c r="AY207" s="157" t="s">
        <v>138</v>
      </c>
    </row>
    <row r="208" spans="1:65" s="2" customFormat="1" ht="37.9" customHeight="1">
      <c r="A208" s="31"/>
      <c r="B208" s="136"/>
      <c r="C208" s="137">
        <v>47</v>
      </c>
      <c r="D208" s="137" t="s">
        <v>141</v>
      </c>
      <c r="E208" s="138" t="s">
        <v>944</v>
      </c>
      <c r="F208" s="139" t="s">
        <v>1400</v>
      </c>
      <c r="G208" s="140" t="s">
        <v>578</v>
      </c>
      <c r="H208" s="141">
        <v>1</v>
      </c>
      <c r="I208" s="142"/>
      <c r="J208" s="142">
        <f>ROUND(I208*H208,2)</f>
        <v>0</v>
      </c>
      <c r="K208" s="139" t="s">
        <v>143</v>
      </c>
      <c r="L208" s="32"/>
      <c r="M208" s="143" t="s">
        <v>3</v>
      </c>
      <c r="N208" s="144" t="s">
        <v>43</v>
      </c>
      <c r="O208" s="145">
        <v>0</v>
      </c>
      <c r="P208" s="145">
        <f>O208*H208</f>
        <v>0</v>
      </c>
      <c r="Q208" s="145">
        <v>0</v>
      </c>
      <c r="R208" s="145">
        <f>Q208*H208</f>
        <v>0</v>
      </c>
      <c r="S208" s="145">
        <v>0</v>
      </c>
      <c r="T208" s="146">
        <f>S208*H208</f>
        <v>0</v>
      </c>
      <c r="U208" s="31"/>
      <c r="V208" s="31"/>
      <c r="W208" s="31"/>
      <c r="X208" s="31"/>
      <c r="Y208" s="31"/>
      <c r="Z208" s="31"/>
      <c r="AA208" s="31"/>
      <c r="AB208" s="31"/>
      <c r="AC208" s="31"/>
      <c r="AD208" s="31"/>
      <c r="AE208" s="31"/>
      <c r="AR208" s="147" t="s">
        <v>200</v>
      </c>
      <c r="AT208" s="147" t="s">
        <v>141</v>
      </c>
      <c r="AU208" s="147" t="s">
        <v>82</v>
      </c>
      <c r="AY208" s="19" t="s">
        <v>138</v>
      </c>
      <c r="BE208" s="148">
        <f>IF(N208="základní",J208,0)</f>
        <v>0</v>
      </c>
      <c r="BF208" s="148">
        <f>IF(N208="snížená",J208,0)</f>
        <v>0</v>
      </c>
      <c r="BG208" s="148">
        <f>IF(N208="zákl. přenesená",J208,0)</f>
        <v>0</v>
      </c>
      <c r="BH208" s="148">
        <f>IF(N208="sníž. přenesená",J208,0)</f>
        <v>0</v>
      </c>
      <c r="BI208" s="148">
        <f>IF(N208="nulová",J208,0)</f>
        <v>0</v>
      </c>
      <c r="BJ208" s="19" t="s">
        <v>80</v>
      </c>
      <c r="BK208" s="148">
        <f>ROUND(I208*H208,2)</f>
        <v>0</v>
      </c>
      <c r="BL208" s="19" t="s">
        <v>200</v>
      </c>
      <c r="BM208" s="147" t="s">
        <v>945</v>
      </c>
    </row>
    <row r="209" spans="1:65" s="13" customFormat="1">
      <c r="B209" s="149"/>
      <c r="D209" s="150" t="s">
        <v>145</v>
      </c>
      <c r="E209" s="151" t="s">
        <v>3</v>
      </c>
      <c r="F209" s="152" t="s">
        <v>837</v>
      </c>
      <c r="H209" s="151" t="s">
        <v>3</v>
      </c>
      <c r="L209" s="149"/>
      <c r="M209" s="153"/>
      <c r="N209" s="154"/>
      <c r="O209" s="154"/>
      <c r="P209" s="154"/>
      <c r="Q209" s="154"/>
      <c r="R209" s="154"/>
      <c r="S209" s="154"/>
      <c r="T209" s="155"/>
      <c r="AT209" s="151" t="s">
        <v>145</v>
      </c>
      <c r="AU209" s="151" t="s">
        <v>82</v>
      </c>
      <c r="AV209" s="13" t="s">
        <v>80</v>
      </c>
      <c r="AW209" s="13" t="s">
        <v>34</v>
      </c>
      <c r="AX209" s="13" t="s">
        <v>72</v>
      </c>
      <c r="AY209" s="151" t="s">
        <v>138</v>
      </c>
    </row>
    <row r="210" spans="1:65" s="14" customFormat="1">
      <c r="B210" s="156"/>
      <c r="D210" s="150" t="s">
        <v>145</v>
      </c>
      <c r="E210" s="157" t="s">
        <v>3</v>
      </c>
      <c r="F210" s="158" t="s">
        <v>80</v>
      </c>
      <c r="H210" s="159">
        <v>1</v>
      </c>
      <c r="L210" s="156"/>
      <c r="M210" s="160"/>
      <c r="N210" s="161"/>
      <c r="O210" s="161"/>
      <c r="P210" s="161"/>
      <c r="Q210" s="161"/>
      <c r="R210" s="161"/>
      <c r="S210" s="161"/>
      <c r="T210" s="162"/>
      <c r="AT210" s="157" t="s">
        <v>145</v>
      </c>
      <c r="AU210" s="157" t="s">
        <v>82</v>
      </c>
      <c r="AV210" s="14" t="s">
        <v>82</v>
      </c>
      <c r="AW210" s="14" t="s">
        <v>34</v>
      </c>
      <c r="AX210" s="14" t="s">
        <v>80</v>
      </c>
      <c r="AY210" s="157" t="s">
        <v>138</v>
      </c>
    </row>
    <row r="211" spans="1:65" s="2" customFormat="1" ht="37.9" customHeight="1">
      <c r="A211" s="31"/>
      <c r="B211" s="136"/>
      <c r="C211" s="137">
        <v>48</v>
      </c>
      <c r="D211" s="137" t="s">
        <v>141</v>
      </c>
      <c r="E211" s="138" t="s">
        <v>946</v>
      </c>
      <c r="F211" s="139" t="s">
        <v>947</v>
      </c>
      <c r="G211" s="140" t="s">
        <v>147</v>
      </c>
      <c r="H211" s="141">
        <v>1</v>
      </c>
      <c r="I211" s="142"/>
      <c r="J211" s="142">
        <f>ROUND(I211*H211,2)</f>
        <v>0</v>
      </c>
      <c r="K211" s="139" t="s">
        <v>148</v>
      </c>
      <c r="L211" s="32"/>
      <c r="M211" s="143" t="s">
        <v>3</v>
      </c>
      <c r="N211" s="144" t="s">
        <v>43</v>
      </c>
      <c r="O211" s="145">
        <v>12.398</v>
      </c>
      <c r="P211" s="145">
        <f>O211*H211</f>
        <v>12.398</v>
      </c>
      <c r="Q211" s="145">
        <v>0</v>
      </c>
      <c r="R211" s="145">
        <f>Q211*H211</f>
        <v>0</v>
      </c>
      <c r="S211" s="145">
        <v>0</v>
      </c>
      <c r="T211" s="146">
        <f>S211*H211</f>
        <v>0</v>
      </c>
      <c r="U211" s="31"/>
      <c r="V211" s="31"/>
      <c r="W211" s="31"/>
      <c r="X211" s="31"/>
      <c r="Y211" s="31"/>
      <c r="Z211" s="31"/>
      <c r="AA211" s="31"/>
      <c r="AB211" s="31"/>
      <c r="AC211" s="31"/>
      <c r="AD211" s="31"/>
      <c r="AE211" s="31"/>
      <c r="AR211" s="147" t="s">
        <v>200</v>
      </c>
      <c r="AT211" s="147" t="s">
        <v>141</v>
      </c>
      <c r="AU211" s="147" t="s">
        <v>82</v>
      </c>
      <c r="AY211" s="19" t="s">
        <v>138</v>
      </c>
      <c r="BE211" s="148">
        <f>IF(N211="základní",J211,0)</f>
        <v>0</v>
      </c>
      <c r="BF211" s="148">
        <f>IF(N211="snížená",J211,0)</f>
        <v>0</v>
      </c>
      <c r="BG211" s="148">
        <f>IF(N211="zákl. přenesená",J211,0)</f>
        <v>0</v>
      </c>
      <c r="BH211" s="148">
        <f>IF(N211="sníž. přenesená",J211,0)</f>
        <v>0</v>
      </c>
      <c r="BI211" s="148">
        <f>IF(N211="nulová",J211,0)</f>
        <v>0</v>
      </c>
      <c r="BJ211" s="19" t="s">
        <v>80</v>
      </c>
      <c r="BK211" s="148">
        <f>ROUND(I211*H211,2)</f>
        <v>0</v>
      </c>
      <c r="BL211" s="19" t="s">
        <v>200</v>
      </c>
      <c r="BM211" s="147" t="s">
        <v>948</v>
      </c>
    </row>
    <row r="212" spans="1:65" s="2" customFormat="1" ht="39">
      <c r="A212" s="31"/>
      <c r="B212" s="32"/>
      <c r="C212" s="31"/>
      <c r="D212" s="150" t="s">
        <v>149</v>
      </c>
      <c r="E212" s="31"/>
      <c r="F212" s="163" t="s">
        <v>949</v>
      </c>
      <c r="G212" s="31"/>
      <c r="H212" s="31"/>
      <c r="I212" s="31"/>
      <c r="J212" s="31"/>
      <c r="K212" s="31"/>
      <c r="L212" s="32"/>
      <c r="M212" s="164"/>
      <c r="N212" s="165"/>
      <c r="O212" s="52"/>
      <c r="P212" s="52"/>
      <c r="Q212" s="52"/>
      <c r="R212" s="52"/>
      <c r="S212" s="52"/>
      <c r="T212" s="53"/>
      <c r="U212" s="31"/>
      <c r="V212" s="31"/>
      <c r="W212" s="31"/>
      <c r="X212" s="31"/>
      <c r="Y212" s="31"/>
      <c r="Z212" s="31"/>
      <c r="AA212" s="31"/>
      <c r="AB212" s="31"/>
      <c r="AC212" s="31"/>
      <c r="AD212" s="31"/>
      <c r="AE212" s="31"/>
      <c r="AT212" s="19" t="s">
        <v>149</v>
      </c>
      <c r="AU212" s="19" t="s">
        <v>82</v>
      </c>
    </row>
    <row r="213" spans="1:65" s="2" customFormat="1" ht="37.9" customHeight="1">
      <c r="A213" s="31"/>
      <c r="B213" s="136"/>
      <c r="C213" s="137">
        <v>49</v>
      </c>
      <c r="D213" s="137" t="s">
        <v>141</v>
      </c>
      <c r="E213" s="138" t="s">
        <v>950</v>
      </c>
      <c r="F213" s="139" t="s">
        <v>951</v>
      </c>
      <c r="G213" s="140" t="s">
        <v>308</v>
      </c>
      <c r="H213" s="141">
        <f>SUM(J126:J211)/100</f>
        <v>0</v>
      </c>
      <c r="I213" s="142"/>
      <c r="J213" s="142">
        <f>ROUND(I213*H213,2)</f>
        <v>0</v>
      </c>
      <c r="K213" s="139" t="s">
        <v>148</v>
      </c>
      <c r="L213" s="32"/>
      <c r="M213" s="143" t="s">
        <v>3</v>
      </c>
      <c r="N213" s="144" t="s">
        <v>43</v>
      </c>
      <c r="O213" s="145">
        <v>0</v>
      </c>
      <c r="P213" s="145">
        <f>O213*H213</f>
        <v>0</v>
      </c>
      <c r="Q213" s="145">
        <v>0</v>
      </c>
      <c r="R213" s="145">
        <f>Q213*H213</f>
        <v>0</v>
      </c>
      <c r="S213" s="145">
        <v>0</v>
      </c>
      <c r="T213" s="146">
        <f>S213*H213</f>
        <v>0</v>
      </c>
      <c r="U213" s="31"/>
      <c r="V213" s="31"/>
      <c r="W213" s="31"/>
      <c r="X213" s="31"/>
      <c r="Y213" s="31"/>
      <c r="Z213" s="31"/>
      <c r="AA213" s="31"/>
      <c r="AB213" s="31"/>
      <c r="AC213" s="31"/>
      <c r="AD213" s="31"/>
      <c r="AE213" s="31"/>
      <c r="AR213" s="147" t="s">
        <v>200</v>
      </c>
      <c r="AT213" s="147" t="s">
        <v>141</v>
      </c>
      <c r="AU213" s="147" t="s">
        <v>82</v>
      </c>
      <c r="AY213" s="19" t="s">
        <v>138</v>
      </c>
      <c r="BE213" s="148">
        <f>IF(N213="základní",J213,0)</f>
        <v>0</v>
      </c>
      <c r="BF213" s="148">
        <f>IF(N213="snížená",J213,0)</f>
        <v>0</v>
      </c>
      <c r="BG213" s="148">
        <f>IF(N213="zákl. přenesená",J213,0)</f>
        <v>0</v>
      </c>
      <c r="BH213" s="148">
        <f>IF(N213="sníž. přenesená",J213,0)</f>
        <v>0</v>
      </c>
      <c r="BI213" s="148">
        <f>IF(N213="nulová",J213,0)</f>
        <v>0</v>
      </c>
      <c r="BJ213" s="19" t="s">
        <v>80</v>
      </c>
      <c r="BK213" s="148">
        <f>ROUND(I213*H213,2)</f>
        <v>0</v>
      </c>
      <c r="BL213" s="19" t="s">
        <v>200</v>
      </c>
      <c r="BM213" s="147" t="s">
        <v>952</v>
      </c>
    </row>
    <row r="214" spans="1:65" s="2" customFormat="1" ht="126.75">
      <c r="A214" s="31"/>
      <c r="B214" s="32"/>
      <c r="C214" s="31"/>
      <c r="D214" s="150" t="s">
        <v>149</v>
      </c>
      <c r="E214" s="31"/>
      <c r="F214" s="163" t="s">
        <v>392</v>
      </c>
      <c r="G214" s="31"/>
      <c r="H214" s="31"/>
      <c r="I214" s="31"/>
      <c r="J214" s="31"/>
      <c r="K214" s="31"/>
      <c r="L214" s="32"/>
      <c r="M214" s="164"/>
      <c r="N214" s="165"/>
      <c r="O214" s="52"/>
      <c r="P214" s="52"/>
      <c r="Q214" s="52"/>
      <c r="R214" s="52"/>
      <c r="S214" s="52"/>
      <c r="T214" s="53"/>
      <c r="U214" s="31"/>
      <c r="V214" s="31"/>
      <c r="W214" s="31"/>
      <c r="X214" s="31"/>
      <c r="Y214" s="31"/>
      <c r="Z214" s="31"/>
      <c r="AA214" s="31"/>
      <c r="AB214" s="31"/>
      <c r="AC214" s="31"/>
      <c r="AD214" s="31"/>
      <c r="AE214" s="31"/>
      <c r="AT214" s="19" t="s">
        <v>149</v>
      </c>
      <c r="AU214" s="19" t="s">
        <v>82</v>
      </c>
    </row>
    <row r="215" spans="1:65" s="2" customFormat="1" ht="49.15" customHeight="1">
      <c r="A215" s="31"/>
      <c r="B215" s="136"/>
      <c r="C215" s="137">
        <v>50</v>
      </c>
      <c r="D215" s="137" t="s">
        <v>141</v>
      </c>
      <c r="E215" s="138" t="s">
        <v>953</v>
      </c>
      <c r="F215" s="139" t="s">
        <v>954</v>
      </c>
      <c r="G215" s="140" t="s">
        <v>308</v>
      </c>
      <c r="H215" s="141">
        <f>H213</f>
        <v>0</v>
      </c>
      <c r="I215" s="142"/>
      <c r="J215" s="142">
        <f>ROUND(I215*H215,2)</f>
        <v>0</v>
      </c>
      <c r="K215" s="139" t="s">
        <v>148</v>
      </c>
      <c r="L215" s="32"/>
      <c r="M215" s="143" t="s">
        <v>3</v>
      </c>
      <c r="N215" s="144" t="s">
        <v>43</v>
      </c>
      <c r="O215" s="145">
        <v>0</v>
      </c>
      <c r="P215" s="145">
        <f>O215*H215</f>
        <v>0</v>
      </c>
      <c r="Q215" s="145">
        <v>0</v>
      </c>
      <c r="R215" s="145">
        <f>Q215*H215</f>
        <v>0</v>
      </c>
      <c r="S215" s="145">
        <v>0</v>
      </c>
      <c r="T215" s="146">
        <f>S215*H215</f>
        <v>0</v>
      </c>
      <c r="U215" s="31"/>
      <c r="V215" s="31"/>
      <c r="W215" s="31"/>
      <c r="X215" s="31"/>
      <c r="Y215" s="31"/>
      <c r="Z215" s="31"/>
      <c r="AA215" s="31"/>
      <c r="AB215" s="31"/>
      <c r="AC215" s="31"/>
      <c r="AD215" s="31"/>
      <c r="AE215" s="31"/>
      <c r="AR215" s="147" t="s">
        <v>200</v>
      </c>
      <c r="AT215" s="147" t="s">
        <v>141</v>
      </c>
      <c r="AU215" s="147" t="s">
        <v>82</v>
      </c>
      <c r="AY215" s="19" t="s">
        <v>138</v>
      </c>
      <c r="BE215" s="148">
        <f>IF(N215="základní",J215,0)</f>
        <v>0</v>
      </c>
      <c r="BF215" s="148">
        <f>IF(N215="snížená",J215,0)</f>
        <v>0</v>
      </c>
      <c r="BG215" s="148">
        <f>IF(N215="zákl. přenesená",J215,0)</f>
        <v>0</v>
      </c>
      <c r="BH215" s="148">
        <f>IF(N215="sníž. přenesená",J215,0)</f>
        <v>0</v>
      </c>
      <c r="BI215" s="148">
        <f>IF(N215="nulová",J215,0)</f>
        <v>0</v>
      </c>
      <c r="BJ215" s="19" t="s">
        <v>80</v>
      </c>
      <c r="BK215" s="148">
        <f>ROUND(I215*H215,2)</f>
        <v>0</v>
      </c>
      <c r="BL215" s="19" t="s">
        <v>200</v>
      </c>
      <c r="BM215" s="147" t="s">
        <v>955</v>
      </c>
    </row>
    <row r="216" spans="1:65" s="2" customFormat="1" ht="126.75">
      <c r="A216" s="31"/>
      <c r="B216" s="32"/>
      <c r="C216" s="31"/>
      <c r="D216" s="150" t="s">
        <v>149</v>
      </c>
      <c r="E216" s="31"/>
      <c r="F216" s="163" t="s">
        <v>392</v>
      </c>
      <c r="G216" s="31"/>
      <c r="H216" s="31"/>
      <c r="I216" s="31"/>
      <c r="J216" s="31"/>
      <c r="K216" s="31"/>
      <c r="L216" s="32"/>
      <c r="M216" s="164"/>
      <c r="N216" s="165"/>
      <c r="O216" s="52"/>
      <c r="P216" s="52"/>
      <c r="Q216" s="52"/>
      <c r="R216" s="52"/>
      <c r="S216" s="52"/>
      <c r="T216" s="53"/>
      <c r="U216" s="31"/>
      <c r="V216" s="31"/>
      <c r="W216" s="31"/>
      <c r="X216" s="31"/>
      <c r="Y216" s="31"/>
      <c r="Z216" s="31"/>
      <c r="AA216" s="31"/>
      <c r="AB216" s="31"/>
      <c r="AC216" s="31"/>
      <c r="AD216" s="31"/>
      <c r="AE216" s="31"/>
      <c r="AT216" s="19" t="s">
        <v>149</v>
      </c>
      <c r="AU216" s="19" t="s">
        <v>82</v>
      </c>
    </row>
    <row r="217" spans="1:65" s="12" customFormat="1" ht="22.9" customHeight="1">
      <c r="B217" s="124"/>
      <c r="D217" s="125" t="s">
        <v>71</v>
      </c>
      <c r="E217" s="134" t="s">
        <v>956</v>
      </c>
      <c r="F217" s="134" t="s">
        <v>957</v>
      </c>
      <c r="J217" s="135">
        <f>BK217</f>
        <v>0</v>
      </c>
      <c r="L217" s="124"/>
      <c r="M217" s="128"/>
      <c r="N217" s="129"/>
      <c r="O217" s="129"/>
      <c r="P217" s="130">
        <f>SUM(P218:P246)</f>
        <v>9.266</v>
      </c>
      <c r="Q217" s="129"/>
      <c r="R217" s="130">
        <f>SUM(R218:R246)</f>
        <v>1.9691999999999998E-2</v>
      </c>
      <c r="S217" s="129"/>
      <c r="T217" s="131">
        <f>SUM(T218:T246)</f>
        <v>0</v>
      </c>
      <c r="AR217" s="125" t="s">
        <v>82</v>
      </c>
      <c r="AT217" s="132" t="s">
        <v>71</v>
      </c>
      <c r="AU217" s="132" t="s">
        <v>80</v>
      </c>
      <c r="AY217" s="125" t="s">
        <v>138</v>
      </c>
      <c r="BK217" s="133">
        <f>SUM(BK218:BK246)</f>
        <v>0</v>
      </c>
    </row>
    <row r="218" spans="1:65" s="2" customFormat="1" ht="24.2" customHeight="1">
      <c r="A218" s="31"/>
      <c r="B218" s="136"/>
      <c r="C218" s="137">
        <v>51</v>
      </c>
      <c r="D218" s="137" t="s">
        <v>141</v>
      </c>
      <c r="E218" s="138" t="s">
        <v>958</v>
      </c>
      <c r="F218" s="139" t="s">
        <v>959</v>
      </c>
      <c r="G218" s="140" t="s">
        <v>187</v>
      </c>
      <c r="H218" s="141">
        <f>H221</f>
        <v>88</v>
      </c>
      <c r="I218" s="142"/>
      <c r="J218" s="142">
        <f>ROUND(I218*H218,2)</f>
        <v>0</v>
      </c>
      <c r="K218" s="139" t="s">
        <v>148</v>
      </c>
      <c r="L218" s="32"/>
      <c r="M218" s="143" t="s">
        <v>3</v>
      </c>
      <c r="N218" s="144" t="s">
        <v>43</v>
      </c>
      <c r="O218" s="145">
        <v>0.04</v>
      </c>
      <c r="P218" s="145">
        <f>O218*H218</f>
        <v>3.52</v>
      </c>
      <c r="Q218" s="145">
        <v>0</v>
      </c>
      <c r="R218" s="145">
        <f>Q218*H218</f>
        <v>0</v>
      </c>
      <c r="S218" s="145">
        <v>0</v>
      </c>
      <c r="T218" s="146">
        <f>S218*H218</f>
        <v>0</v>
      </c>
      <c r="U218" s="31"/>
      <c r="V218" s="31"/>
      <c r="W218" s="31"/>
      <c r="X218" s="31"/>
      <c r="Y218" s="31"/>
      <c r="Z218" s="31"/>
      <c r="AA218" s="31"/>
      <c r="AB218" s="31"/>
      <c r="AC218" s="31"/>
      <c r="AD218" s="31"/>
      <c r="AE218" s="31"/>
      <c r="AR218" s="147" t="s">
        <v>200</v>
      </c>
      <c r="AT218" s="147" t="s">
        <v>141</v>
      </c>
      <c r="AU218" s="147" t="s">
        <v>82</v>
      </c>
      <c r="AY218" s="19" t="s">
        <v>138</v>
      </c>
      <c r="BE218" s="148">
        <f>IF(N218="základní",J218,0)</f>
        <v>0</v>
      </c>
      <c r="BF218" s="148">
        <f>IF(N218="snížená",J218,0)</f>
        <v>0</v>
      </c>
      <c r="BG218" s="148">
        <f>IF(N218="zákl. přenesená",J218,0)</f>
        <v>0</v>
      </c>
      <c r="BH218" s="148">
        <f>IF(N218="sníž. přenesená",J218,0)</f>
        <v>0</v>
      </c>
      <c r="BI218" s="148">
        <f>IF(N218="nulová",J218,0)</f>
        <v>0</v>
      </c>
      <c r="BJ218" s="19" t="s">
        <v>80</v>
      </c>
      <c r="BK218" s="148">
        <f>ROUND(I218*H218,2)</f>
        <v>0</v>
      </c>
      <c r="BL218" s="19" t="s">
        <v>200</v>
      </c>
      <c r="BM218" s="147" t="s">
        <v>960</v>
      </c>
    </row>
    <row r="219" spans="1:65" s="2" customFormat="1" ht="29.25">
      <c r="A219" s="31"/>
      <c r="B219" s="32"/>
      <c r="C219" s="31"/>
      <c r="D219" s="150" t="s">
        <v>149</v>
      </c>
      <c r="E219" s="31"/>
      <c r="F219" s="163" t="s">
        <v>961</v>
      </c>
      <c r="G219" s="31"/>
      <c r="H219" s="31"/>
      <c r="I219" s="31"/>
      <c r="J219" s="31"/>
      <c r="K219" s="31"/>
      <c r="L219" s="32"/>
      <c r="M219" s="164"/>
      <c r="N219" s="165"/>
      <c r="O219" s="52"/>
      <c r="P219" s="52"/>
      <c r="Q219" s="52"/>
      <c r="R219" s="52"/>
      <c r="S219" s="52"/>
      <c r="T219" s="53"/>
      <c r="U219" s="31"/>
      <c r="V219" s="31"/>
      <c r="W219" s="31"/>
      <c r="X219" s="31"/>
      <c r="Y219" s="31"/>
      <c r="Z219" s="31"/>
      <c r="AA219" s="31"/>
      <c r="AB219" s="31"/>
      <c r="AC219" s="31"/>
      <c r="AD219" s="31"/>
      <c r="AE219" s="31"/>
      <c r="AT219" s="19" t="s">
        <v>149</v>
      </c>
      <c r="AU219" s="19" t="s">
        <v>82</v>
      </c>
    </row>
    <row r="220" spans="1:65" s="13" customFormat="1">
      <c r="B220" s="149"/>
      <c r="D220" s="150" t="s">
        <v>145</v>
      </c>
      <c r="E220" s="151" t="s">
        <v>3</v>
      </c>
      <c r="F220" s="152" t="s">
        <v>837</v>
      </c>
      <c r="H220" s="151" t="s">
        <v>3</v>
      </c>
      <c r="L220" s="149"/>
      <c r="M220" s="153"/>
      <c r="N220" s="154"/>
      <c r="O220" s="154"/>
      <c r="P220" s="154"/>
      <c r="Q220" s="154"/>
      <c r="R220" s="154"/>
      <c r="S220" s="154"/>
      <c r="T220" s="155"/>
      <c r="AT220" s="151" t="s">
        <v>145</v>
      </c>
      <c r="AU220" s="151" t="s">
        <v>82</v>
      </c>
      <c r="AV220" s="13" t="s">
        <v>80</v>
      </c>
      <c r="AW220" s="13" t="s">
        <v>34</v>
      </c>
      <c r="AX220" s="13" t="s">
        <v>72</v>
      </c>
      <c r="AY220" s="151" t="s">
        <v>138</v>
      </c>
    </row>
    <row r="221" spans="1:65" s="14" customFormat="1">
      <c r="B221" s="156"/>
      <c r="D221" s="150" t="s">
        <v>145</v>
      </c>
      <c r="E221" s="157" t="s">
        <v>3</v>
      </c>
      <c r="F221" s="158">
        <v>88</v>
      </c>
      <c r="H221" s="159">
        <v>88</v>
      </c>
      <c r="L221" s="156"/>
      <c r="M221" s="160"/>
      <c r="N221" s="161"/>
      <c r="O221" s="161"/>
      <c r="P221" s="161"/>
      <c r="Q221" s="161"/>
      <c r="R221" s="161"/>
      <c r="S221" s="161"/>
      <c r="T221" s="162"/>
      <c r="AT221" s="157" t="s">
        <v>145</v>
      </c>
      <c r="AU221" s="157" t="s">
        <v>82</v>
      </c>
      <c r="AV221" s="14" t="s">
        <v>82</v>
      </c>
      <c r="AW221" s="14" t="s">
        <v>34</v>
      </c>
      <c r="AX221" s="14" t="s">
        <v>80</v>
      </c>
      <c r="AY221" s="157" t="s">
        <v>138</v>
      </c>
    </row>
    <row r="222" spans="1:65" s="2" customFormat="1" ht="14.45" customHeight="1">
      <c r="A222" s="31"/>
      <c r="B222" s="136"/>
      <c r="C222" s="173">
        <v>52</v>
      </c>
      <c r="D222" s="173" t="s">
        <v>164</v>
      </c>
      <c r="E222" s="174" t="s">
        <v>962</v>
      </c>
      <c r="F222" s="175" t="s">
        <v>963</v>
      </c>
      <c r="G222" s="176" t="s">
        <v>187</v>
      </c>
      <c r="H222" s="177">
        <f>H223</f>
        <v>105.6</v>
      </c>
      <c r="I222" s="178"/>
      <c r="J222" s="178">
        <f>ROUND(I222*H222,2)</f>
        <v>0</v>
      </c>
      <c r="K222" s="175" t="s">
        <v>148</v>
      </c>
      <c r="L222" s="179"/>
      <c r="M222" s="180" t="s">
        <v>3</v>
      </c>
      <c r="N222" s="181" t="s">
        <v>43</v>
      </c>
      <c r="O222" s="145">
        <v>0</v>
      </c>
      <c r="P222" s="145">
        <f>O222*H222</f>
        <v>0</v>
      </c>
      <c r="Q222" s="145">
        <v>2.0000000000000002E-5</v>
      </c>
      <c r="R222" s="145">
        <f>Q222*H222</f>
        <v>2.1120000000000002E-3</v>
      </c>
      <c r="S222" s="145">
        <v>0</v>
      </c>
      <c r="T222" s="146">
        <f>S222*H222</f>
        <v>0</v>
      </c>
      <c r="U222" s="31"/>
      <c r="V222" s="31"/>
      <c r="W222" s="31"/>
      <c r="X222" s="31"/>
      <c r="Y222" s="31"/>
      <c r="Z222" s="31"/>
      <c r="AA222" s="31"/>
      <c r="AB222" s="31"/>
      <c r="AC222" s="31"/>
      <c r="AD222" s="31"/>
      <c r="AE222" s="31"/>
      <c r="AR222" s="147" t="s">
        <v>224</v>
      </c>
      <c r="AT222" s="147" t="s">
        <v>164</v>
      </c>
      <c r="AU222" s="147" t="s">
        <v>82</v>
      </c>
      <c r="AY222" s="19" t="s">
        <v>138</v>
      </c>
      <c r="BE222" s="148">
        <f>IF(N222="základní",J222,0)</f>
        <v>0</v>
      </c>
      <c r="BF222" s="148">
        <f>IF(N222="snížená",J222,0)</f>
        <v>0</v>
      </c>
      <c r="BG222" s="148">
        <f>IF(N222="zákl. přenesená",J222,0)</f>
        <v>0</v>
      </c>
      <c r="BH222" s="148">
        <f>IF(N222="sníž. přenesená",J222,0)</f>
        <v>0</v>
      </c>
      <c r="BI222" s="148">
        <f>IF(N222="nulová",J222,0)</f>
        <v>0</v>
      </c>
      <c r="BJ222" s="19" t="s">
        <v>80</v>
      </c>
      <c r="BK222" s="148">
        <f>ROUND(I222*H222,2)</f>
        <v>0</v>
      </c>
      <c r="BL222" s="19" t="s">
        <v>200</v>
      </c>
      <c r="BM222" s="147" t="s">
        <v>964</v>
      </c>
    </row>
    <row r="223" spans="1:65" s="14" customFormat="1">
      <c r="B223" s="156"/>
      <c r="D223" s="150" t="s">
        <v>145</v>
      </c>
      <c r="F223" s="158" t="s">
        <v>1401</v>
      </c>
      <c r="H223" s="159">
        <f>H218*1.2</f>
        <v>105.6</v>
      </c>
      <c r="L223" s="156"/>
      <c r="M223" s="160"/>
      <c r="N223" s="161"/>
      <c r="O223" s="161"/>
      <c r="P223" s="161"/>
      <c r="Q223" s="161"/>
      <c r="R223" s="161"/>
      <c r="S223" s="161"/>
      <c r="T223" s="162"/>
      <c r="AT223" s="157" t="s">
        <v>145</v>
      </c>
      <c r="AU223" s="157" t="s">
        <v>82</v>
      </c>
      <c r="AV223" s="14" t="s">
        <v>82</v>
      </c>
      <c r="AW223" s="14" t="s">
        <v>4</v>
      </c>
      <c r="AX223" s="14" t="s">
        <v>80</v>
      </c>
      <c r="AY223" s="157" t="s">
        <v>138</v>
      </c>
    </row>
    <row r="224" spans="1:65" s="2" customFormat="1" ht="24.2" customHeight="1">
      <c r="A224" s="31"/>
      <c r="B224" s="136"/>
      <c r="C224" s="137">
        <v>53</v>
      </c>
      <c r="D224" s="137" t="s">
        <v>141</v>
      </c>
      <c r="E224" s="138" t="s">
        <v>958</v>
      </c>
      <c r="F224" s="139" t="s">
        <v>959</v>
      </c>
      <c r="G224" s="140" t="s">
        <v>187</v>
      </c>
      <c r="H224" s="141">
        <f>H227</f>
        <v>39</v>
      </c>
      <c r="I224" s="142"/>
      <c r="J224" s="142">
        <f>ROUND(I224*H224,2)</f>
        <v>0</v>
      </c>
      <c r="K224" s="139" t="s">
        <v>148</v>
      </c>
      <c r="L224" s="32"/>
      <c r="M224" s="143" t="s">
        <v>3</v>
      </c>
      <c r="N224" s="144" t="s">
        <v>43</v>
      </c>
      <c r="O224" s="145">
        <v>0.04</v>
      </c>
      <c r="P224" s="145">
        <f>O224*H224</f>
        <v>1.56</v>
      </c>
      <c r="Q224" s="145">
        <v>0</v>
      </c>
      <c r="R224" s="145">
        <f>Q224*H224</f>
        <v>0</v>
      </c>
      <c r="S224" s="145">
        <v>0</v>
      </c>
      <c r="T224" s="146">
        <f>S224*H224</f>
        <v>0</v>
      </c>
      <c r="U224" s="31"/>
      <c r="V224" s="31"/>
      <c r="W224" s="31"/>
      <c r="X224" s="31"/>
      <c r="Y224" s="31"/>
      <c r="Z224" s="31"/>
      <c r="AA224" s="31"/>
      <c r="AB224" s="31"/>
      <c r="AC224" s="31"/>
      <c r="AD224" s="31"/>
      <c r="AE224" s="31"/>
      <c r="AR224" s="147" t="s">
        <v>200</v>
      </c>
      <c r="AT224" s="147" t="s">
        <v>141</v>
      </c>
      <c r="AU224" s="147" t="s">
        <v>82</v>
      </c>
      <c r="AY224" s="19" t="s">
        <v>138</v>
      </c>
      <c r="BE224" s="148">
        <f>IF(N224="základní",J224,0)</f>
        <v>0</v>
      </c>
      <c r="BF224" s="148">
        <f>IF(N224="snížená",J224,0)</f>
        <v>0</v>
      </c>
      <c r="BG224" s="148">
        <f>IF(N224="zákl. přenesená",J224,0)</f>
        <v>0</v>
      </c>
      <c r="BH224" s="148">
        <f>IF(N224="sníž. přenesená",J224,0)</f>
        <v>0</v>
      </c>
      <c r="BI224" s="148">
        <f>IF(N224="nulová",J224,0)</f>
        <v>0</v>
      </c>
      <c r="BJ224" s="19" t="s">
        <v>80</v>
      </c>
      <c r="BK224" s="148">
        <f>ROUND(I224*H224,2)</f>
        <v>0</v>
      </c>
      <c r="BL224" s="19" t="s">
        <v>200</v>
      </c>
      <c r="BM224" s="147" t="s">
        <v>965</v>
      </c>
    </row>
    <row r="225" spans="1:65" s="2" customFormat="1" ht="29.25">
      <c r="A225" s="31"/>
      <c r="B225" s="32"/>
      <c r="C225" s="31"/>
      <c r="D225" s="150" t="s">
        <v>149</v>
      </c>
      <c r="E225" s="31"/>
      <c r="F225" s="163" t="s">
        <v>961</v>
      </c>
      <c r="G225" s="31"/>
      <c r="H225" s="31"/>
      <c r="I225" s="31"/>
      <c r="J225" s="31"/>
      <c r="K225" s="31"/>
      <c r="L225" s="32"/>
      <c r="M225" s="164"/>
      <c r="N225" s="165"/>
      <c r="O225" s="52"/>
      <c r="P225" s="52"/>
      <c r="Q225" s="52"/>
      <c r="R225" s="52"/>
      <c r="S225" s="52"/>
      <c r="T225" s="53"/>
      <c r="U225" s="31"/>
      <c r="V225" s="31"/>
      <c r="W225" s="31"/>
      <c r="X225" s="31"/>
      <c r="Y225" s="31"/>
      <c r="Z225" s="31"/>
      <c r="AA225" s="31"/>
      <c r="AB225" s="31"/>
      <c r="AC225" s="31"/>
      <c r="AD225" s="31"/>
      <c r="AE225" s="31"/>
      <c r="AT225" s="19" t="s">
        <v>149</v>
      </c>
      <c r="AU225" s="19" t="s">
        <v>82</v>
      </c>
    </row>
    <row r="226" spans="1:65" s="13" customFormat="1">
      <c r="B226" s="149"/>
      <c r="D226" s="150" t="s">
        <v>145</v>
      </c>
      <c r="E226" s="151" t="s">
        <v>3</v>
      </c>
      <c r="F226" s="152" t="s">
        <v>837</v>
      </c>
      <c r="H226" s="151" t="s">
        <v>3</v>
      </c>
      <c r="L226" s="149"/>
      <c r="M226" s="153"/>
      <c r="N226" s="154"/>
      <c r="O226" s="154"/>
      <c r="P226" s="154"/>
      <c r="Q226" s="154"/>
      <c r="R226" s="154"/>
      <c r="S226" s="154"/>
      <c r="T226" s="155"/>
      <c r="AT226" s="151" t="s">
        <v>145</v>
      </c>
      <c r="AU226" s="151" t="s">
        <v>82</v>
      </c>
      <c r="AV226" s="13" t="s">
        <v>80</v>
      </c>
      <c r="AW226" s="13" t="s">
        <v>34</v>
      </c>
      <c r="AX226" s="13" t="s">
        <v>72</v>
      </c>
      <c r="AY226" s="151" t="s">
        <v>138</v>
      </c>
    </row>
    <row r="227" spans="1:65" s="14" customFormat="1">
      <c r="B227" s="156"/>
      <c r="D227" s="150" t="s">
        <v>145</v>
      </c>
      <c r="E227" s="157" t="s">
        <v>3</v>
      </c>
      <c r="F227" s="158">
        <v>39</v>
      </c>
      <c r="H227" s="159">
        <f>F227</f>
        <v>39</v>
      </c>
      <c r="L227" s="156"/>
      <c r="M227" s="160"/>
      <c r="N227" s="161"/>
      <c r="O227" s="161"/>
      <c r="P227" s="161"/>
      <c r="Q227" s="161"/>
      <c r="R227" s="161"/>
      <c r="S227" s="161"/>
      <c r="T227" s="162"/>
      <c r="AT227" s="157" t="s">
        <v>145</v>
      </c>
      <c r="AU227" s="157" t="s">
        <v>82</v>
      </c>
      <c r="AV227" s="14" t="s">
        <v>82</v>
      </c>
      <c r="AW227" s="14" t="s">
        <v>34</v>
      </c>
      <c r="AX227" s="14" t="s">
        <v>80</v>
      </c>
      <c r="AY227" s="157" t="s">
        <v>138</v>
      </c>
    </row>
    <row r="228" spans="1:65" s="2" customFormat="1" ht="24.2" customHeight="1">
      <c r="A228" s="31"/>
      <c r="B228" s="136"/>
      <c r="C228" s="173">
        <v>54</v>
      </c>
      <c r="D228" s="173" t="s">
        <v>164</v>
      </c>
      <c r="E228" s="174" t="s">
        <v>966</v>
      </c>
      <c r="F228" s="175" t="s">
        <v>967</v>
      </c>
      <c r="G228" s="176" t="s">
        <v>187</v>
      </c>
      <c r="H228" s="177">
        <f>H229</f>
        <v>46.8</v>
      </c>
      <c r="I228" s="178"/>
      <c r="J228" s="178">
        <f>ROUND(I228*H228,2)</f>
        <v>0</v>
      </c>
      <c r="K228" s="175" t="s">
        <v>143</v>
      </c>
      <c r="L228" s="179"/>
      <c r="M228" s="180" t="s">
        <v>3</v>
      </c>
      <c r="N228" s="181" t="s">
        <v>43</v>
      </c>
      <c r="O228" s="145">
        <v>0</v>
      </c>
      <c r="P228" s="145">
        <f>O228*H228</f>
        <v>0</v>
      </c>
      <c r="Q228" s="145">
        <v>0</v>
      </c>
      <c r="R228" s="145">
        <f>Q228*H228</f>
        <v>0</v>
      </c>
      <c r="S228" s="145">
        <v>0</v>
      </c>
      <c r="T228" s="146">
        <f>S228*H228</f>
        <v>0</v>
      </c>
      <c r="U228" s="31"/>
      <c r="V228" s="31"/>
      <c r="W228" s="31"/>
      <c r="X228" s="31"/>
      <c r="Y228" s="31"/>
      <c r="Z228" s="31"/>
      <c r="AA228" s="31"/>
      <c r="AB228" s="31"/>
      <c r="AC228" s="31"/>
      <c r="AD228" s="31"/>
      <c r="AE228" s="31"/>
      <c r="AR228" s="147" t="s">
        <v>224</v>
      </c>
      <c r="AT228" s="147" t="s">
        <v>164</v>
      </c>
      <c r="AU228" s="147" t="s">
        <v>82</v>
      </c>
      <c r="AY228" s="19" t="s">
        <v>138</v>
      </c>
      <c r="BE228" s="148">
        <f>IF(N228="základní",J228,0)</f>
        <v>0</v>
      </c>
      <c r="BF228" s="148">
        <f>IF(N228="snížená",J228,0)</f>
        <v>0</v>
      </c>
      <c r="BG228" s="148">
        <f>IF(N228="zákl. přenesená",J228,0)</f>
        <v>0</v>
      </c>
      <c r="BH228" s="148">
        <f>IF(N228="sníž. přenesená",J228,0)</f>
        <v>0</v>
      </c>
      <c r="BI228" s="148">
        <f>IF(N228="nulová",J228,0)</f>
        <v>0</v>
      </c>
      <c r="BJ228" s="19" t="s">
        <v>80</v>
      </c>
      <c r="BK228" s="148">
        <f>ROUND(I228*H228,2)</f>
        <v>0</v>
      </c>
      <c r="BL228" s="19" t="s">
        <v>200</v>
      </c>
      <c r="BM228" s="147" t="s">
        <v>968</v>
      </c>
    </row>
    <row r="229" spans="1:65" s="14" customFormat="1">
      <c r="B229" s="156"/>
      <c r="D229" s="150" t="s">
        <v>145</v>
      </c>
      <c r="F229" s="158" t="s">
        <v>1402</v>
      </c>
      <c r="H229" s="159">
        <f>H224*1.2</f>
        <v>46.8</v>
      </c>
      <c r="L229" s="156"/>
      <c r="M229" s="160"/>
      <c r="N229" s="161"/>
      <c r="O229" s="161"/>
      <c r="P229" s="161"/>
      <c r="Q229" s="161"/>
      <c r="R229" s="161"/>
      <c r="S229" s="161"/>
      <c r="T229" s="162"/>
      <c r="AT229" s="157" t="s">
        <v>145</v>
      </c>
      <c r="AU229" s="157" t="s">
        <v>82</v>
      </c>
      <c r="AV229" s="14" t="s">
        <v>82</v>
      </c>
      <c r="AW229" s="14" t="s">
        <v>4</v>
      </c>
      <c r="AX229" s="14" t="s">
        <v>80</v>
      </c>
      <c r="AY229" s="157" t="s">
        <v>138</v>
      </c>
    </row>
    <row r="230" spans="1:65" s="2" customFormat="1" ht="14.45" customHeight="1">
      <c r="A230" s="31"/>
      <c r="B230" s="136"/>
      <c r="C230" s="137">
        <v>55</v>
      </c>
      <c r="D230" s="137" t="s">
        <v>141</v>
      </c>
      <c r="E230" s="138" t="s">
        <v>969</v>
      </c>
      <c r="F230" s="139" t="s">
        <v>970</v>
      </c>
      <c r="G230" s="140" t="s">
        <v>147</v>
      </c>
      <c r="H230" s="141">
        <f>H232</f>
        <v>2</v>
      </c>
      <c r="I230" s="142"/>
      <c r="J230" s="142">
        <f>ROUND(I230*H230,2)</f>
        <v>0</v>
      </c>
      <c r="K230" s="139" t="s">
        <v>148</v>
      </c>
      <c r="L230" s="32"/>
      <c r="M230" s="143" t="s">
        <v>3</v>
      </c>
      <c r="N230" s="144" t="s">
        <v>43</v>
      </c>
      <c r="O230" s="145">
        <v>0.17</v>
      </c>
      <c r="P230" s="145">
        <f>O230*H230</f>
        <v>0.34</v>
      </c>
      <c r="Q230" s="145">
        <v>0</v>
      </c>
      <c r="R230" s="145">
        <f>Q230*H230</f>
        <v>0</v>
      </c>
      <c r="S230" s="145">
        <v>0</v>
      </c>
      <c r="T230" s="146">
        <f>S230*H230</f>
        <v>0</v>
      </c>
      <c r="U230" s="31"/>
      <c r="V230" s="31"/>
      <c r="W230" s="31"/>
      <c r="X230" s="31"/>
      <c r="Y230" s="31"/>
      <c r="Z230" s="31"/>
      <c r="AA230" s="31"/>
      <c r="AB230" s="31"/>
      <c r="AC230" s="31"/>
      <c r="AD230" s="31"/>
      <c r="AE230" s="31"/>
      <c r="AR230" s="147" t="s">
        <v>200</v>
      </c>
      <c r="AT230" s="147" t="s">
        <v>141</v>
      </c>
      <c r="AU230" s="147" t="s">
        <v>82</v>
      </c>
      <c r="AY230" s="19" t="s">
        <v>138</v>
      </c>
      <c r="BE230" s="148">
        <f>IF(N230="základní",J230,0)</f>
        <v>0</v>
      </c>
      <c r="BF230" s="148">
        <f>IF(N230="snížená",J230,0)</f>
        <v>0</v>
      </c>
      <c r="BG230" s="148">
        <f>IF(N230="zákl. přenesená",J230,0)</f>
        <v>0</v>
      </c>
      <c r="BH230" s="148">
        <f>IF(N230="sníž. přenesená",J230,0)</f>
        <v>0</v>
      </c>
      <c r="BI230" s="148">
        <f>IF(N230="nulová",J230,0)</f>
        <v>0</v>
      </c>
      <c r="BJ230" s="19" t="s">
        <v>80</v>
      </c>
      <c r="BK230" s="148">
        <f>ROUND(I230*H230,2)</f>
        <v>0</v>
      </c>
      <c r="BL230" s="19" t="s">
        <v>200</v>
      </c>
      <c r="BM230" s="147" t="s">
        <v>971</v>
      </c>
    </row>
    <row r="231" spans="1:65" s="13" customFormat="1">
      <c r="B231" s="149"/>
      <c r="D231" s="150" t="s">
        <v>145</v>
      </c>
      <c r="E231" s="151" t="s">
        <v>3</v>
      </c>
      <c r="F231" s="152" t="s">
        <v>837</v>
      </c>
      <c r="H231" s="151" t="s">
        <v>3</v>
      </c>
      <c r="L231" s="149"/>
      <c r="M231" s="153"/>
      <c r="N231" s="154"/>
      <c r="O231" s="154"/>
      <c r="P231" s="154"/>
      <c r="Q231" s="154"/>
      <c r="R231" s="154"/>
      <c r="S231" s="154"/>
      <c r="T231" s="155"/>
      <c r="AT231" s="151" t="s">
        <v>145</v>
      </c>
      <c r="AU231" s="151" t="s">
        <v>82</v>
      </c>
      <c r="AV231" s="13" t="s">
        <v>80</v>
      </c>
      <c r="AW231" s="13" t="s">
        <v>34</v>
      </c>
      <c r="AX231" s="13" t="s">
        <v>72</v>
      </c>
      <c r="AY231" s="151" t="s">
        <v>138</v>
      </c>
    </row>
    <row r="232" spans="1:65" s="14" customFormat="1">
      <c r="B232" s="156"/>
      <c r="D232" s="150" t="s">
        <v>145</v>
      </c>
      <c r="E232" s="157" t="s">
        <v>3</v>
      </c>
      <c r="F232" s="158">
        <v>2</v>
      </c>
      <c r="H232" s="159">
        <v>2</v>
      </c>
      <c r="L232" s="156"/>
      <c r="M232" s="160"/>
      <c r="N232" s="161"/>
      <c r="O232" s="161"/>
      <c r="P232" s="161"/>
      <c r="Q232" s="161"/>
      <c r="R232" s="161"/>
      <c r="S232" s="161"/>
      <c r="T232" s="162"/>
      <c r="AT232" s="157" t="s">
        <v>145</v>
      </c>
      <c r="AU232" s="157" t="s">
        <v>82</v>
      </c>
      <c r="AV232" s="14" t="s">
        <v>82</v>
      </c>
      <c r="AW232" s="14" t="s">
        <v>34</v>
      </c>
      <c r="AX232" s="14" t="s">
        <v>80</v>
      </c>
      <c r="AY232" s="157" t="s">
        <v>138</v>
      </c>
    </row>
    <row r="233" spans="1:65" s="2" customFormat="1" ht="24.2" customHeight="1">
      <c r="A233" s="31"/>
      <c r="B233" s="136"/>
      <c r="C233" s="173">
        <v>56</v>
      </c>
      <c r="D233" s="173" t="s">
        <v>164</v>
      </c>
      <c r="E233" s="174" t="s">
        <v>972</v>
      </c>
      <c r="F233" s="175" t="s">
        <v>973</v>
      </c>
      <c r="G233" s="176" t="s">
        <v>147</v>
      </c>
      <c r="H233" s="177">
        <f>H230</f>
        <v>2</v>
      </c>
      <c r="I233" s="178"/>
      <c r="J233" s="178">
        <f>ROUND(I233*H233,2)</f>
        <v>0</v>
      </c>
      <c r="K233" s="175" t="s">
        <v>148</v>
      </c>
      <c r="L233" s="179"/>
      <c r="M233" s="180" t="s">
        <v>3</v>
      </c>
      <c r="N233" s="181" t="s">
        <v>43</v>
      </c>
      <c r="O233" s="145">
        <v>0</v>
      </c>
      <c r="P233" s="145">
        <f>O233*H233</f>
        <v>0</v>
      </c>
      <c r="Q233" s="145">
        <v>8.0999999999999996E-3</v>
      </c>
      <c r="R233" s="145">
        <f>Q233*H233</f>
        <v>1.6199999999999999E-2</v>
      </c>
      <c r="S233" s="145">
        <v>0</v>
      </c>
      <c r="T233" s="146">
        <f>S233*H233</f>
        <v>0</v>
      </c>
      <c r="U233" s="31"/>
      <c r="V233" s="31"/>
      <c r="W233" s="31"/>
      <c r="X233" s="31"/>
      <c r="Y233" s="31"/>
      <c r="Z233" s="31"/>
      <c r="AA233" s="31"/>
      <c r="AB233" s="31"/>
      <c r="AC233" s="31"/>
      <c r="AD233" s="31"/>
      <c r="AE233" s="31"/>
      <c r="AR233" s="147" t="s">
        <v>224</v>
      </c>
      <c r="AT233" s="147" t="s">
        <v>164</v>
      </c>
      <c r="AU233" s="147" t="s">
        <v>82</v>
      </c>
      <c r="AY233" s="19" t="s">
        <v>138</v>
      </c>
      <c r="BE233" s="148">
        <f>IF(N233="základní",J233,0)</f>
        <v>0</v>
      </c>
      <c r="BF233" s="148">
        <f>IF(N233="snížená",J233,0)</f>
        <v>0</v>
      </c>
      <c r="BG233" s="148">
        <f>IF(N233="zákl. přenesená",J233,0)</f>
        <v>0</v>
      </c>
      <c r="BH233" s="148">
        <f>IF(N233="sníž. přenesená",J233,0)</f>
        <v>0</v>
      </c>
      <c r="BI233" s="148">
        <f>IF(N233="nulová",J233,0)</f>
        <v>0</v>
      </c>
      <c r="BJ233" s="19" t="s">
        <v>80</v>
      </c>
      <c r="BK233" s="148">
        <f>ROUND(I233*H233,2)</f>
        <v>0</v>
      </c>
      <c r="BL233" s="19" t="s">
        <v>200</v>
      </c>
      <c r="BM233" s="147" t="s">
        <v>974</v>
      </c>
    </row>
    <row r="234" spans="1:65" s="2" customFormat="1" ht="37.9" customHeight="1">
      <c r="A234" s="31"/>
      <c r="B234" s="136"/>
      <c r="C234" s="137">
        <v>57</v>
      </c>
      <c r="D234" s="137" t="s">
        <v>141</v>
      </c>
      <c r="E234" s="138" t="s">
        <v>975</v>
      </c>
      <c r="F234" s="139" t="s">
        <v>976</v>
      </c>
      <c r="G234" s="140" t="s">
        <v>147</v>
      </c>
      <c r="H234" s="141">
        <f>H236</f>
        <v>12</v>
      </c>
      <c r="I234" s="142"/>
      <c r="J234" s="142">
        <f>ROUND(I234*H234,2)</f>
        <v>0</v>
      </c>
      <c r="K234" s="139" t="s">
        <v>148</v>
      </c>
      <c r="L234" s="32"/>
      <c r="M234" s="143" t="s">
        <v>3</v>
      </c>
      <c r="N234" s="144" t="s">
        <v>43</v>
      </c>
      <c r="O234" s="145">
        <v>0.25</v>
      </c>
      <c r="P234" s="145">
        <f>O234*H234</f>
        <v>3</v>
      </c>
      <c r="Q234" s="145">
        <v>0</v>
      </c>
      <c r="R234" s="145">
        <f>Q234*H234</f>
        <v>0</v>
      </c>
      <c r="S234" s="145">
        <v>0</v>
      </c>
      <c r="T234" s="146">
        <f>S234*H234</f>
        <v>0</v>
      </c>
      <c r="U234" s="31"/>
      <c r="V234" s="31"/>
      <c r="W234" s="31"/>
      <c r="X234" s="31"/>
      <c r="Y234" s="31"/>
      <c r="Z234" s="31"/>
      <c r="AA234" s="31"/>
      <c r="AB234" s="31"/>
      <c r="AC234" s="31"/>
      <c r="AD234" s="31"/>
      <c r="AE234" s="31"/>
      <c r="AR234" s="147" t="s">
        <v>200</v>
      </c>
      <c r="AT234" s="147" t="s">
        <v>141</v>
      </c>
      <c r="AU234" s="147" t="s">
        <v>82</v>
      </c>
      <c r="AY234" s="19" t="s">
        <v>138</v>
      </c>
      <c r="BE234" s="148">
        <f>IF(N234="základní",J234,0)</f>
        <v>0</v>
      </c>
      <c r="BF234" s="148">
        <f>IF(N234="snížená",J234,0)</f>
        <v>0</v>
      </c>
      <c r="BG234" s="148">
        <f>IF(N234="zákl. přenesená",J234,0)</f>
        <v>0</v>
      </c>
      <c r="BH234" s="148">
        <f>IF(N234="sníž. přenesená",J234,0)</f>
        <v>0</v>
      </c>
      <c r="BI234" s="148">
        <f>IF(N234="nulová",J234,0)</f>
        <v>0</v>
      </c>
      <c r="BJ234" s="19" t="s">
        <v>80</v>
      </c>
      <c r="BK234" s="148">
        <f>ROUND(I234*H234,2)</f>
        <v>0</v>
      </c>
      <c r="BL234" s="19" t="s">
        <v>200</v>
      </c>
      <c r="BM234" s="147" t="s">
        <v>977</v>
      </c>
    </row>
    <row r="235" spans="1:65" s="13" customFormat="1">
      <c r="B235" s="149"/>
      <c r="D235" s="150" t="s">
        <v>145</v>
      </c>
      <c r="E235" s="151" t="s">
        <v>3</v>
      </c>
      <c r="F235" s="152" t="s">
        <v>837</v>
      </c>
      <c r="H235" s="151" t="s">
        <v>3</v>
      </c>
      <c r="L235" s="149"/>
      <c r="M235" s="153"/>
      <c r="N235" s="154"/>
      <c r="O235" s="154"/>
      <c r="P235" s="154"/>
      <c r="Q235" s="154"/>
      <c r="R235" s="154"/>
      <c r="S235" s="154"/>
      <c r="T235" s="155"/>
      <c r="AT235" s="151" t="s">
        <v>145</v>
      </c>
      <c r="AU235" s="151" t="s">
        <v>82</v>
      </c>
      <c r="AV235" s="13" t="s">
        <v>80</v>
      </c>
      <c r="AW235" s="13" t="s">
        <v>34</v>
      </c>
      <c r="AX235" s="13" t="s">
        <v>72</v>
      </c>
      <c r="AY235" s="151" t="s">
        <v>138</v>
      </c>
    </row>
    <row r="236" spans="1:65" s="14" customFormat="1">
      <c r="B236" s="156"/>
      <c r="D236" s="150" t="s">
        <v>145</v>
      </c>
      <c r="E236" s="157" t="s">
        <v>3</v>
      </c>
      <c r="F236" s="158" t="s">
        <v>1403</v>
      </c>
      <c r="H236" s="159">
        <v>12</v>
      </c>
      <c r="L236" s="156"/>
      <c r="M236" s="160"/>
      <c r="N236" s="161"/>
      <c r="O236" s="161"/>
      <c r="P236" s="161"/>
      <c r="Q236" s="161"/>
      <c r="R236" s="161"/>
      <c r="S236" s="161"/>
      <c r="T236" s="162"/>
      <c r="AT236" s="157" t="s">
        <v>145</v>
      </c>
      <c r="AU236" s="157" t="s">
        <v>82</v>
      </c>
      <c r="AV236" s="14" t="s">
        <v>82</v>
      </c>
      <c r="AW236" s="14" t="s">
        <v>34</v>
      </c>
      <c r="AX236" s="14" t="s">
        <v>80</v>
      </c>
      <c r="AY236" s="157" t="s">
        <v>138</v>
      </c>
    </row>
    <row r="237" spans="1:65" s="2" customFormat="1" ht="14.45" customHeight="1">
      <c r="A237" s="31"/>
      <c r="B237" s="136"/>
      <c r="C237" s="173">
        <v>58</v>
      </c>
      <c r="D237" s="173" t="s">
        <v>164</v>
      </c>
      <c r="E237" s="174" t="s">
        <v>978</v>
      </c>
      <c r="F237" s="175" t="s">
        <v>979</v>
      </c>
      <c r="G237" s="176" t="s">
        <v>147</v>
      </c>
      <c r="H237" s="177">
        <f>H234</f>
        <v>12</v>
      </c>
      <c r="I237" s="178"/>
      <c r="J237" s="178">
        <f>ROUND(I237*H237,2)</f>
        <v>0</v>
      </c>
      <c r="K237" s="175" t="s">
        <v>143</v>
      </c>
      <c r="L237" s="179"/>
      <c r="M237" s="180" t="s">
        <v>3</v>
      </c>
      <c r="N237" s="181" t="s">
        <v>43</v>
      </c>
      <c r="O237" s="145">
        <v>0</v>
      </c>
      <c r="P237" s="145">
        <f>O237*H237</f>
        <v>0</v>
      </c>
      <c r="Q237" s="145">
        <v>1E-4</v>
      </c>
      <c r="R237" s="145">
        <f>Q237*H237</f>
        <v>1.2000000000000001E-3</v>
      </c>
      <c r="S237" s="145">
        <v>0</v>
      </c>
      <c r="T237" s="146">
        <f>S237*H237</f>
        <v>0</v>
      </c>
      <c r="U237" s="31"/>
      <c r="V237" s="31"/>
      <c r="W237" s="31"/>
      <c r="X237" s="31"/>
      <c r="Y237" s="31"/>
      <c r="Z237" s="31"/>
      <c r="AA237" s="31"/>
      <c r="AB237" s="31"/>
      <c r="AC237" s="31"/>
      <c r="AD237" s="31"/>
      <c r="AE237" s="31"/>
      <c r="AR237" s="147" t="s">
        <v>224</v>
      </c>
      <c r="AT237" s="147" t="s">
        <v>164</v>
      </c>
      <c r="AU237" s="147" t="s">
        <v>82</v>
      </c>
      <c r="AY237" s="19" t="s">
        <v>138</v>
      </c>
      <c r="BE237" s="148">
        <f>IF(N237="základní",J237,0)</f>
        <v>0</v>
      </c>
      <c r="BF237" s="148">
        <f>IF(N237="snížená",J237,0)</f>
        <v>0</v>
      </c>
      <c r="BG237" s="148">
        <f>IF(N237="zákl. přenesená",J237,0)</f>
        <v>0</v>
      </c>
      <c r="BH237" s="148">
        <f>IF(N237="sníž. přenesená",J237,0)</f>
        <v>0</v>
      </c>
      <c r="BI237" s="148">
        <f>IF(N237="nulová",J237,0)</f>
        <v>0</v>
      </c>
      <c r="BJ237" s="19" t="s">
        <v>80</v>
      </c>
      <c r="BK237" s="148">
        <f>ROUND(I237*H237,2)</f>
        <v>0</v>
      </c>
      <c r="BL237" s="19" t="s">
        <v>200</v>
      </c>
      <c r="BM237" s="147" t="s">
        <v>980</v>
      </c>
    </row>
    <row r="238" spans="1:65" s="2" customFormat="1" ht="24.2" customHeight="1">
      <c r="A238" s="31"/>
      <c r="B238" s="136"/>
      <c r="C238" s="137">
        <v>59</v>
      </c>
      <c r="D238" s="137" t="s">
        <v>141</v>
      </c>
      <c r="E238" s="138" t="s">
        <v>981</v>
      </c>
      <c r="F238" s="139" t="s">
        <v>982</v>
      </c>
      <c r="G238" s="140" t="s">
        <v>147</v>
      </c>
      <c r="H238" s="141">
        <f>H234</f>
        <v>12</v>
      </c>
      <c r="I238" s="142"/>
      <c r="J238" s="142">
        <f>ROUND(I238*H238,2)</f>
        <v>0</v>
      </c>
      <c r="K238" s="139" t="s">
        <v>148</v>
      </c>
      <c r="L238" s="32"/>
      <c r="M238" s="143" t="s">
        <v>3</v>
      </c>
      <c r="N238" s="144" t="s">
        <v>43</v>
      </c>
      <c r="O238" s="145">
        <v>1.7999999999999999E-2</v>
      </c>
      <c r="P238" s="145">
        <f>O238*H238</f>
        <v>0.21599999999999997</v>
      </c>
      <c r="Q238" s="145">
        <v>0</v>
      </c>
      <c r="R238" s="145">
        <f>Q238*H238</f>
        <v>0</v>
      </c>
      <c r="S238" s="145">
        <v>0</v>
      </c>
      <c r="T238" s="146">
        <f>S238*H238</f>
        <v>0</v>
      </c>
      <c r="U238" s="31"/>
      <c r="V238" s="31"/>
      <c r="W238" s="31"/>
      <c r="X238" s="31"/>
      <c r="Y238" s="31"/>
      <c r="Z238" s="31"/>
      <c r="AA238" s="31"/>
      <c r="AB238" s="31"/>
      <c r="AC238" s="31"/>
      <c r="AD238" s="31"/>
      <c r="AE238" s="31"/>
      <c r="AR238" s="147" t="s">
        <v>200</v>
      </c>
      <c r="AT238" s="147" t="s">
        <v>141</v>
      </c>
      <c r="AU238" s="147" t="s">
        <v>82</v>
      </c>
      <c r="AY238" s="19" t="s">
        <v>138</v>
      </c>
      <c r="BE238" s="148">
        <f>IF(N238="základní",J238,0)</f>
        <v>0</v>
      </c>
      <c r="BF238" s="148">
        <f>IF(N238="snížená",J238,0)</f>
        <v>0</v>
      </c>
      <c r="BG238" s="148">
        <f>IF(N238="zákl. přenesená",J238,0)</f>
        <v>0</v>
      </c>
      <c r="BH238" s="148">
        <f>IF(N238="sníž. přenesená",J238,0)</f>
        <v>0</v>
      </c>
      <c r="BI238" s="148">
        <f>IF(N238="nulová",J238,0)</f>
        <v>0</v>
      </c>
      <c r="BJ238" s="19" t="s">
        <v>80</v>
      </c>
      <c r="BK238" s="148">
        <f>ROUND(I238*H238,2)</f>
        <v>0</v>
      </c>
      <c r="BL238" s="19" t="s">
        <v>200</v>
      </c>
      <c r="BM238" s="147" t="s">
        <v>983</v>
      </c>
    </row>
    <row r="239" spans="1:65" s="2" customFormat="1" ht="24.2" customHeight="1">
      <c r="A239" s="31"/>
      <c r="B239" s="136"/>
      <c r="C239" s="137">
        <v>60</v>
      </c>
      <c r="D239" s="137" t="s">
        <v>141</v>
      </c>
      <c r="E239" s="138" t="s">
        <v>984</v>
      </c>
      <c r="F239" s="139" t="s">
        <v>985</v>
      </c>
      <c r="G239" s="140" t="s">
        <v>147</v>
      </c>
      <c r="H239" s="141">
        <f>H241</f>
        <v>3</v>
      </c>
      <c r="I239" s="142"/>
      <c r="J239" s="142">
        <f>ROUND(I239*H239,2)</f>
        <v>0</v>
      </c>
      <c r="K239" s="139" t="s">
        <v>148</v>
      </c>
      <c r="L239" s="32"/>
      <c r="M239" s="143" t="s">
        <v>3</v>
      </c>
      <c r="N239" s="144" t="s">
        <v>43</v>
      </c>
      <c r="O239" s="145">
        <v>0.21</v>
      </c>
      <c r="P239" s="145">
        <f>O239*H239</f>
        <v>0.63</v>
      </c>
      <c r="Q239" s="145">
        <v>0</v>
      </c>
      <c r="R239" s="145">
        <f>Q239*H239</f>
        <v>0</v>
      </c>
      <c r="S239" s="145">
        <v>0</v>
      </c>
      <c r="T239" s="146">
        <f>S239*H239</f>
        <v>0</v>
      </c>
      <c r="U239" s="31"/>
      <c r="V239" s="31"/>
      <c r="W239" s="31"/>
      <c r="X239" s="31"/>
      <c r="Y239" s="31"/>
      <c r="Z239" s="31"/>
      <c r="AA239" s="31"/>
      <c r="AB239" s="31"/>
      <c r="AC239" s="31"/>
      <c r="AD239" s="31"/>
      <c r="AE239" s="31"/>
      <c r="AR239" s="147" t="s">
        <v>200</v>
      </c>
      <c r="AT239" s="147" t="s">
        <v>141</v>
      </c>
      <c r="AU239" s="147" t="s">
        <v>82</v>
      </c>
      <c r="AY239" s="19" t="s">
        <v>138</v>
      </c>
      <c r="BE239" s="148">
        <f>IF(N239="základní",J239,0)</f>
        <v>0</v>
      </c>
      <c r="BF239" s="148">
        <f>IF(N239="snížená",J239,0)</f>
        <v>0</v>
      </c>
      <c r="BG239" s="148">
        <f>IF(N239="zákl. přenesená",J239,0)</f>
        <v>0</v>
      </c>
      <c r="BH239" s="148">
        <f>IF(N239="sníž. přenesená",J239,0)</f>
        <v>0</v>
      </c>
      <c r="BI239" s="148">
        <f>IF(N239="nulová",J239,0)</f>
        <v>0</v>
      </c>
      <c r="BJ239" s="19" t="s">
        <v>80</v>
      </c>
      <c r="BK239" s="148">
        <f>ROUND(I239*H239,2)</f>
        <v>0</v>
      </c>
      <c r="BL239" s="19" t="s">
        <v>200</v>
      </c>
      <c r="BM239" s="147" t="s">
        <v>986</v>
      </c>
    </row>
    <row r="240" spans="1:65" s="13" customFormat="1">
      <c r="B240" s="149"/>
      <c r="D240" s="150" t="s">
        <v>145</v>
      </c>
      <c r="E240" s="151" t="s">
        <v>3</v>
      </c>
      <c r="F240" s="152" t="s">
        <v>837</v>
      </c>
      <c r="H240" s="151" t="s">
        <v>3</v>
      </c>
      <c r="L240" s="149"/>
      <c r="M240" s="153"/>
      <c r="N240" s="154"/>
      <c r="O240" s="154"/>
      <c r="P240" s="154"/>
      <c r="Q240" s="154"/>
      <c r="R240" s="154"/>
      <c r="S240" s="154"/>
      <c r="T240" s="155"/>
      <c r="AT240" s="151" t="s">
        <v>145</v>
      </c>
      <c r="AU240" s="151" t="s">
        <v>82</v>
      </c>
      <c r="AV240" s="13" t="s">
        <v>80</v>
      </c>
      <c r="AW240" s="13" t="s">
        <v>34</v>
      </c>
      <c r="AX240" s="13" t="s">
        <v>72</v>
      </c>
      <c r="AY240" s="151" t="s">
        <v>138</v>
      </c>
    </row>
    <row r="241" spans="1:65" s="14" customFormat="1">
      <c r="B241" s="156"/>
      <c r="D241" s="150" t="s">
        <v>145</v>
      </c>
      <c r="E241" s="157" t="s">
        <v>3</v>
      </c>
      <c r="F241" s="158" t="s">
        <v>809</v>
      </c>
      <c r="H241" s="159">
        <v>3</v>
      </c>
      <c r="L241" s="156"/>
      <c r="M241" s="160"/>
      <c r="N241" s="161"/>
      <c r="O241" s="161"/>
      <c r="P241" s="161"/>
      <c r="Q241" s="161"/>
      <c r="R241" s="161"/>
      <c r="S241" s="161"/>
      <c r="T241" s="162"/>
      <c r="AT241" s="157" t="s">
        <v>145</v>
      </c>
      <c r="AU241" s="157" t="s">
        <v>82</v>
      </c>
      <c r="AV241" s="14" t="s">
        <v>82</v>
      </c>
      <c r="AW241" s="14" t="s">
        <v>34</v>
      </c>
      <c r="AX241" s="14" t="s">
        <v>80</v>
      </c>
      <c r="AY241" s="157" t="s">
        <v>138</v>
      </c>
    </row>
    <row r="242" spans="1:65" s="2" customFormat="1" ht="14.45" customHeight="1">
      <c r="A242" s="31"/>
      <c r="B242" s="136"/>
      <c r="C242" s="173">
        <v>61</v>
      </c>
      <c r="D242" s="173" t="s">
        <v>164</v>
      </c>
      <c r="E242" s="174" t="s">
        <v>987</v>
      </c>
      <c r="F242" s="175" t="s">
        <v>988</v>
      </c>
      <c r="G242" s="176" t="s">
        <v>147</v>
      </c>
      <c r="H242" s="177">
        <f>H239</f>
        <v>3</v>
      </c>
      <c r="I242" s="178"/>
      <c r="J242" s="178">
        <f>ROUND(I242*H242,2)</f>
        <v>0</v>
      </c>
      <c r="K242" s="175" t="s">
        <v>148</v>
      </c>
      <c r="L242" s="179"/>
      <c r="M242" s="180" t="s">
        <v>3</v>
      </c>
      <c r="N242" s="181" t="s">
        <v>43</v>
      </c>
      <c r="O242" s="145">
        <v>0</v>
      </c>
      <c r="P242" s="145">
        <f>O242*H242</f>
        <v>0</v>
      </c>
      <c r="Q242" s="145">
        <v>6.0000000000000002E-5</v>
      </c>
      <c r="R242" s="145">
        <f>Q242*H242</f>
        <v>1.8000000000000001E-4</v>
      </c>
      <c r="S242" s="145">
        <v>0</v>
      </c>
      <c r="T242" s="146">
        <f>S242*H242</f>
        <v>0</v>
      </c>
      <c r="U242" s="31"/>
      <c r="V242" s="31"/>
      <c r="W242" s="31"/>
      <c r="X242" s="31"/>
      <c r="Y242" s="31"/>
      <c r="Z242" s="31"/>
      <c r="AA242" s="31"/>
      <c r="AB242" s="31"/>
      <c r="AC242" s="31"/>
      <c r="AD242" s="31"/>
      <c r="AE242" s="31"/>
      <c r="AR242" s="147" t="s">
        <v>224</v>
      </c>
      <c r="AT242" s="147" t="s">
        <v>164</v>
      </c>
      <c r="AU242" s="147" t="s">
        <v>82</v>
      </c>
      <c r="AY242" s="19" t="s">
        <v>138</v>
      </c>
      <c r="BE242" s="148">
        <f>IF(N242="základní",J242,0)</f>
        <v>0</v>
      </c>
      <c r="BF242" s="148">
        <f>IF(N242="snížená",J242,0)</f>
        <v>0</v>
      </c>
      <c r="BG242" s="148">
        <f>IF(N242="zákl. přenesená",J242,0)</f>
        <v>0</v>
      </c>
      <c r="BH242" s="148">
        <f>IF(N242="sníž. přenesená",J242,0)</f>
        <v>0</v>
      </c>
      <c r="BI242" s="148">
        <f>IF(N242="nulová",J242,0)</f>
        <v>0</v>
      </c>
      <c r="BJ242" s="19" t="s">
        <v>80</v>
      </c>
      <c r="BK242" s="148">
        <f>ROUND(I242*H242,2)</f>
        <v>0</v>
      </c>
      <c r="BL242" s="19" t="s">
        <v>200</v>
      </c>
      <c r="BM242" s="147" t="s">
        <v>989</v>
      </c>
    </row>
    <row r="243" spans="1:65" s="2" customFormat="1" ht="37.9" customHeight="1">
      <c r="A243" s="31"/>
      <c r="B243" s="136"/>
      <c r="C243" s="137">
        <v>62</v>
      </c>
      <c r="D243" s="137" t="s">
        <v>141</v>
      </c>
      <c r="E243" s="138" t="s">
        <v>990</v>
      </c>
      <c r="F243" s="139" t="s">
        <v>991</v>
      </c>
      <c r="G243" s="140" t="s">
        <v>308</v>
      </c>
      <c r="H243" s="141">
        <f>SUM(J218:J242)/100</f>
        <v>0</v>
      </c>
      <c r="I243" s="142"/>
      <c r="J243" s="142">
        <f>ROUND(I243*H243,2)</f>
        <v>0</v>
      </c>
      <c r="K243" s="139" t="s">
        <v>148</v>
      </c>
      <c r="L243" s="32"/>
      <c r="M243" s="143" t="s">
        <v>3</v>
      </c>
      <c r="N243" s="144" t="s">
        <v>43</v>
      </c>
      <c r="O243" s="145">
        <v>0</v>
      </c>
      <c r="P243" s="145">
        <f>O243*H243</f>
        <v>0</v>
      </c>
      <c r="Q243" s="145">
        <v>0</v>
      </c>
      <c r="R243" s="145">
        <f>Q243*H243</f>
        <v>0</v>
      </c>
      <c r="S243" s="145">
        <v>0</v>
      </c>
      <c r="T243" s="146">
        <f>S243*H243</f>
        <v>0</v>
      </c>
      <c r="U243" s="31"/>
      <c r="V243" s="31"/>
      <c r="W243" s="31"/>
      <c r="X243" s="31"/>
      <c r="Y243" s="31"/>
      <c r="Z243" s="31"/>
      <c r="AA243" s="31"/>
      <c r="AB243" s="31"/>
      <c r="AC243" s="31"/>
      <c r="AD243" s="31"/>
      <c r="AE243" s="31"/>
      <c r="AR243" s="147" t="s">
        <v>200</v>
      </c>
      <c r="AT243" s="147" t="s">
        <v>141</v>
      </c>
      <c r="AU243" s="147" t="s">
        <v>82</v>
      </c>
      <c r="AY243" s="19" t="s">
        <v>138</v>
      </c>
      <c r="BE243" s="148">
        <f>IF(N243="základní",J243,0)</f>
        <v>0</v>
      </c>
      <c r="BF243" s="148">
        <f>IF(N243="snížená",J243,0)</f>
        <v>0</v>
      </c>
      <c r="BG243" s="148">
        <f>IF(N243="zákl. přenesená",J243,0)</f>
        <v>0</v>
      </c>
      <c r="BH243" s="148">
        <f>IF(N243="sníž. přenesená",J243,0)</f>
        <v>0</v>
      </c>
      <c r="BI243" s="148">
        <f>IF(N243="nulová",J243,0)</f>
        <v>0</v>
      </c>
      <c r="BJ243" s="19" t="s">
        <v>80</v>
      </c>
      <c r="BK243" s="148">
        <f>ROUND(I243*H243,2)</f>
        <v>0</v>
      </c>
      <c r="BL243" s="19" t="s">
        <v>200</v>
      </c>
      <c r="BM243" s="147" t="s">
        <v>992</v>
      </c>
    </row>
    <row r="244" spans="1:65" s="2" customFormat="1" ht="126.75">
      <c r="A244" s="31"/>
      <c r="B244" s="32"/>
      <c r="C244" s="31"/>
      <c r="D244" s="150" t="s">
        <v>149</v>
      </c>
      <c r="E244" s="31"/>
      <c r="F244" s="163" t="s">
        <v>642</v>
      </c>
      <c r="G244" s="31"/>
      <c r="H244" s="31"/>
      <c r="I244" s="31"/>
      <c r="J244" s="31"/>
      <c r="K244" s="31"/>
      <c r="L244" s="32"/>
      <c r="M244" s="164"/>
      <c r="N244" s="165"/>
      <c r="O244" s="52"/>
      <c r="P244" s="52"/>
      <c r="Q244" s="52"/>
      <c r="R244" s="52"/>
      <c r="S244" s="52"/>
      <c r="T244" s="53"/>
      <c r="U244" s="31"/>
      <c r="V244" s="31"/>
      <c r="W244" s="31"/>
      <c r="X244" s="31"/>
      <c r="Y244" s="31"/>
      <c r="Z244" s="31"/>
      <c r="AA244" s="31"/>
      <c r="AB244" s="31"/>
      <c r="AC244" s="31"/>
      <c r="AD244" s="31"/>
      <c r="AE244" s="31"/>
      <c r="AT244" s="19" t="s">
        <v>149</v>
      </c>
      <c r="AU244" s="19" t="s">
        <v>82</v>
      </c>
    </row>
    <row r="245" spans="1:65" s="2" customFormat="1" ht="49.15" customHeight="1">
      <c r="A245" s="31"/>
      <c r="B245" s="136"/>
      <c r="C245" s="137">
        <v>63</v>
      </c>
      <c r="D245" s="137" t="s">
        <v>141</v>
      </c>
      <c r="E245" s="138" t="s">
        <v>993</v>
      </c>
      <c r="F245" s="139" t="s">
        <v>994</v>
      </c>
      <c r="G245" s="140" t="s">
        <v>308</v>
      </c>
      <c r="H245" s="141">
        <f>H243</f>
        <v>0</v>
      </c>
      <c r="I245" s="142"/>
      <c r="J245" s="142">
        <f>ROUND(I245*H245,2)</f>
        <v>0</v>
      </c>
      <c r="K245" s="139" t="s">
        <v>148</v>
      </c>
      <c r="L245" s="32"/>
      <c r="M245" s="143" t="s">
        <v>3</v>
      </c>
      <c r="N245" s="144" t="s">
        <v>43</v>
      </c>
      <c r="O245" s="145">
        <v>0</v>
      </c>
      <c r="P245" s="145">
        <f>O245*H245</f>
        <v>0</v>
      </c>
      <c r="Q245" s="145">
        <v>0</v>
      </c>
      <c r="R245" s="145">
        <f>Q245*H245</f>
        <v>0</v>
      </c>
      <c r="S245" s="145">
        <v>0</v>
      </c>
      <c r="T245" s="146">
        <f>S245*H245</f>
        <v>0</v>
      </c>
      <c r="U245" s="31"/>
      <c r="V245" s="31"/>
      <c r="W245" s="31"/>
      <c r="X245" s="31"/>
      <c r="Y245" s="31"/>
      <c r="Z245" s="31"/>
      <c r="AA245" s="31"/>
      <c r="AB245" s="31"/>
      <c r="AC245" s="31"/>
      <c r="AD245" s="31"/>
      <c r="AE245" s="31"/>
      <c r="AR245" s="147" t="s">
        <v>200</v>
      </c>
      <c r="AT245" s="147" t="s">
        <v>141</v>
      </c>
      <c r="AU245" s="147" t="s">
        <v>82</v>
      </c>
      <c r="AY245" s="19" t="s">
        <v>138</v>
      </c>
      <c r="BE245" s="148">
        <f>IF(N245="základní",J245,0)</f>
        <v>0</v>
      </c>
      <c r="BF245" s="148">
        <f>IF(N245="snížená",J245,0)</f>
        <v>0</v>
      </c>
      <c r="BG245" s="148">
        <f>IF(N245="zákl. přenesená",J245,0)</f>
        <v>0</v>
      </c>
      <c r="BH245" s="148">
        <f>IF(N245="sníž. přenesená",J245,0)</f>
        <v>0</v>
      </c>
      <c r="BI245" s="148">
        <f>IF(N245="nulová",J245,0)</f>
        <v>0</v>
      </c>
      <c r="BJ245" s="19" t="s">
        <v>80</v>
      </c>
      <c r="BK245" s="148">
        <f>ROUND(I245*H245,2)</f>
        <v>0</v>
      </c>
      <c r="BL245" s="19" t="s">
        <v>200</v>
      </c>
      <c r="BM245" s="147" t="s">
        <v>995</v>
      </c>
    </row>
    <row r="246" spans="1:65" s="2" customFormat="1" ht="126.75">
      <c r="A246" s="31"/>
      <c r="B246" s="32"/>
      <c r="C246" s="31"/>
      <c r="D246" s="150" t="s">
        <v>149</v>
      </c>
      <c r="E246" s="31"/>
      <c r="F246" s="163" t="s">
        <v>642</v>
      </c>
      <c r="G246" s="31"/>
      <c r="H246" s="31"/>
      <c r="I246" s="31"/>
      <c r="J246" s="31"/>
      <c r="K246" s="31"/>
      <c r="L246" s="32"/>
      <c r="M246" s="164"/>
      <c r="N246" s="165"/>
      <c r="O246" s="52"/>
      <c r="P246" s="52"/>
      <c r="Q246" s="52"/>
      <c r="R246" s="52"/>
      <c r="S246" s="52"/>
      <c r="T246" s="53"/>
      <c r="U246" s="31"/>
      <c r="V246" s="31"/>
      <c r="W246" s="31"/>
      <c r="X246" s="31"/>
      <c r="Y246" s="31"/>
      <c r="Z246" s="31"/>
      <c r="AA246" s="31"/>
      <c r="AB246" s="31"/>
      <c r="AC246" s="31"/>
      <c r="AD246" s="31"/>
      <c r="AE246" s="31"/>
      <c r="AT246" s="19" t="s">
        <v>149</v>
      </c>
      <c r="AU246" s="19" t="s">
        <v>82</v>
      </c>
    </row>
    <row r="247" spans="1:65" s="12" customFormat="1" ht="25.9" customHeight="1">
      <c r="B247" s="124"/>
      <c r="D247" s="125" t="s">
        <v>71</v>
      </c>
      <c r="E247" s="126" t="s">
        <v>742</v>
      </c>
      <c r="F247" s="126" t="s">
        <v>743</v>
      </c>
      <c r="J247" s="127">
        <f>BK247</f>
        <v>0</v>
      </c>
      <c r="L247" s="124"/>
      <c r="M247" s="128"/>
      <c r="N247" s="129"/>
      <c r="O247" s="129"/>
      <c r="P247" s="130">
        <f>SUM(P248:P253)</f>
        <v>80</v>
      </c>
      <c r="Q247" s="129"/>
      <c r="R247" s="130">
        <f>SUM(R248:R253)</f>
        <v>0</v>
      </c>
      <c r="S247" s="129"/>
      <c r="T247" s="131">
        <f>SUM(T248:T253)</f>
        <v>0</v>
      </c>
      <c r="AR247" s="125" t="s">
        <v>144</v>
      </c>
      <c r="AT247" s="132" t="s">
        <v>71</v>
      </c>
      <c r="AU247" s="132" t="s">
        <v>72</v>
      </c>
      <c r="AY247" s="125" t="s">
        <v>138</v>
      </c>
      <c r="BK247" s="133">
        <f>SUM(BK248:BK253)</f>
        <v>0</v>
      </c>
    </row>
    <row r="248" spans="1:65" s="2" customFormat="1" ht="24.2" customHeight="1">
      <c r="A248" s="31"/>
      <c r="B248" s="136"/>
      <c r="C248" s="137">
        <v>64</v>
      </c>
      <c r="D248" s="137" t="s">
        <v>141</v>
      </c>
      <c r="E248" s="138" t="s">
        <v>744</v>
      </c>
      <c r="F248" s="139" t="s">
        <v>745</v>
      </c>
      <c r="G248" s="140" t="s">
        <v>746</v>
      </c>
      <c r="H248" s="141">
        <v>16</v>
      </c>
      <c r="I248" s="142"/>
      <c r="J248" s="142">
        <f>ROUND(I248*H248,2)</f>
        <v>0</v>
      </c>
      <c r="K248" s="139" t="s">
        <v>148</v>
      </c>
      <c r="L248" s="32"/>
      <c r="M248" s="143" t="s">
        <v>3</v>
      </c>
      <c r="N248" s="144" t="s">
        <v>43</v>
      </c>
      <c r="O248" s="145">
        <v>1</v>
      </c>
      <c r="P248" s="145">
        <f>O248*H248</f>
        <v>16</v>
      </c>
      <c r="Q248" s="145">
        <v>0</v>
      </c>
      <c r="R248" s="145">
        <f>Q248*H248</f>
        <v>0</v>
      </c>
      <c r="S248" s="145">
        <v>0</v>
      </c>
      <c r="T248" s="146">
        <f>S248*H248</f>
        <v>0</v>
      </c>
      <c r="U248" s="31"/>
      <c r="V248" s="31"/>
      <c r="W248" s="31"/>
      <c r="X248" s="31"/>
      <c r="Y248" s="31"/>
      <c r="Z248" s="31"/>
      <c r="AA248" s="31"/>
      <c r="AB248" s="31"/>
      <c r="AC248" s="31"/>
      <c r="AD248" s="31"/>
      <c r="AE248" s="31"/>
      <c r="AR248" s="147" t="s">
        <v>747</v>
      </c>
      <c r="AT248" s="147" t="s">
        <v>141</v>
      </c>
      <c r="AU248" s="147" t="s">
        <v>80</v>
      </c>
      <c r="AY248" s="19" t="s">
        <v>138</v>
      </c>
      <c r="BE248" s="148">
        <f>IF(N248="základní",J248,0)</f>
        <v>0</v>
      </c>
      <c r="BF248" s="148">
        <f>IF(N248="snížená",J248,0)</f>
        <v>0</v>
      </c>
      <c r="BG248" s="148">
        <f>IF(N248="zákl. přenesená",J248,0)</f>
        <v>0</v>
      </c>
      <c r="BH248" s="148">
        <f>IF(N248="sníž. přenesená",J248,0)</f>
        <v>0</v>
      </c>
      <c r="BI248" s="148">
        <f>IF(N248="nulová",J248,0)</f>
        <v>0</v>
      </c>
      <c r="BJ248" s="19" t="s">
        <v>80</v>
      </c>
      <c r="BK248" s="148">
        <f>ROUND(I248*H248,2)</f>
        <v>0</v>
      </c>
      <c r="BL248" s="19" t="s">
        <v>747</v>
      </c>
      <c r="BM248" s="147" t="s">
        <v>996</v>
      </c>
    </row>
    <row r="249" spans="1:65" s="2" customFormat="1" ht="19.5">
      <c r="A249" s="31"/>
      <c r="B249" s="32"/>
      <c r="C249" s="31"/>
      <c r="D249" s="150" t="s">
        <v>242</v>
      </c>
      <c r="E249" s="31"/>
      <c r="F249" s="163" t="s">
        <v>749</v>
      </c>
      <c r="G249" s="31"/>
      <c r="H249" s="31"/>
      <c r="I249" s="31"/>
      <c r="J249" s="31"/>
      <c r="K249" s="31"/>
      <c r="L249" s="32"/>
      <c r="M249" s="164"/>
      <c r="N249" s="165"/>
      <c r="O249" s="52"/>
      <c r="P249" s="52"/>
      <c r="Q249" s="52"/>
      <c r="R249" s="52"/>
      <c r="S249" s="52"/>
      <c r="T249" s="53"/>
      <c r="U249" s="31"/>
      <c r="V249" s="31"/>
      <c r="W249" s="31"/>
      <c r="X249" s="31"/>
      <c r="Y249" s="31"/>
      <c r="Z249" s="31"/>
      <c r="AA249" s="31"/>
      <c r="AB249" s="31"/>
      <c r="AC249" s="31"/>
      <c r="AD249" s="31"/>
      <c r="AE249" s="31"/>
      <c r="AT249" s="19" t="s">
        <v>242</v>
      </c>
      <c r="AU249" s="19" t="s">
        <v>80</v>
      </c>
    </row>
    <row r="250" spans="1:65" s="2" customFormat="1" ht="24.2" customHeight="1">
      <c r="A250" s="31"/>
      <c r="B250" s="136"/>
      <c r="C250" s="137">
        <v>65</v>
      </c>
      <c r="D250" s="137" t="s">
        <v>141</v>
      </c>
      <c r="E250" s="138" t="s">
        <v>997</v>
      </c>
      <c r="F250" s="139" t="s">
        <v>998</v>
      </c>
      <c r="G250" s="140" t="s">
        <v>746</v>
      </c>
      <c r="H250" s="141">
        <v>48</v>
      </c>
      <c r="I250" s="142"/>
      <c r="J250" s="142">
        <f>ROUND(I250*H250,2)</f>
        <v>0</v>
      </c>
      <c r="K250" s="139" t="s">
        <v>148</v>
      </c>
      <c r="L250" s="32"/>
      <c r="M250" s="143" t="s">
        <v>3</v>
      </c>
      <c r="N250" s="144" t="s">
        <v>43</v>
      </c>
      <c r="O250" s="145">
        <v>1</v>
      </c>
      <c r="P250" s="145">
        <f>O250*H250</f>
        <v>48</v>
      </c>
      <c r="Q250" s="145">
        <v>0</v>
      </c>
      <c r="R250" s="145">
        <f>Q250*H250</f>
        <v>0</v>
      </c>
      <c r="S250" s="145">
        <v>0</v>
      </c>
      <c r="T250" s="146">
        <f>S250*H250</f>
        <v>0</v>
      </c>
      <c r="U250" s="31"/>
      <c r="V250" s="31"/>
      <c r="W250" s="31"/>
      <c r="X250" s="31"/>
      <c r="Y250" s="31"/>
      <c r="Z250" s="31"/>
      <c r="AA250" s="31"/>
      <c r="AB250" s="31"/>
      <c r="AC250" s="31"/>
      <c r="AD250" s="31"/>
      <c r="AE250" s="31"/>
      <c r="AR250" s="147" t="s">
        <v>747</v>
      </c>
      <c r="AT250" s="147" t="s">
        <v>141</v>
      </c>
      <c r="AU250" s="147" t="s">
        <v>80</v>
      </c>
      <c r="AY250" s="19" t="s">
        <v>138</v>
      </c>
      <c r="BE250" s="148">
        <f>IF(N250="základní",J250,0)</f>
        <v>0</v>
      </c>
      <c r="BF250" s="148">
        <f>IF(N250="snížená",J250,0)</f>
        <v>0</v>
      </c>
      <c r="BG250" s="148">
        <f>IF(N250="zákl. přenesená",J250,0)</f>
        <v>0</v>
      </c>
      <c r="BH250" s="148">
        <f>IF(N250="sníž. přenesená",J250,0)</f>
        <v>0</v>
      </c>
      <c r="BI250" s="148">
        <f>IF(N250="nulová",J250,0)</f>
        <v>0</v>
      </c>
      <c r="BJ250" s="19" t="s">
        <v>80</v>
      </c>
      <c r="BK250" s="148">
        <f>ROUND(I250*H250,2)</f>
        <v>0</v>
      </c>
      <c r="BL250" s="19" t="s">
        <v>747</v>
      </c>
      <c r="BM250" s="147" t="s">
        <v>999</v>
      </c>
    </row>
    <row r="251" spans="1:65" s="2" customFormat="1" ht="29.25">
      <c r="A251" s="31"/>
      <c r="B251" s="32"/>
      <c r="C251" s="31"/>
      <c r="D251" s="150" t="s">
        <v>242</v>
      </c>
      <c r="E251" s="31"/>
      <c r="F251" s="163" t="s">
        <v>1000</v>
      </c>
      <c r="G251" s="31"/>
      <c r="H251" s="31"/>
      <c r="I251" s="31"/>
      <c r="J251" s="31"/>
      <c r="K251" s="31"/>
      <c r="L251" s="32"/>
      <c r="M251" s="164"/>
      <c r="N251" s="165"/>
      <c r="O251" s="52"/>
      <c r="P251" s="52"/>
      <c r="Q251" s="52"/>
      <c r="R251" s="52"/>
      <c r="S251" s="52"/>
      <c r="T251" s="53"/>
      <c r="U251" s="31"/>
      <c r="V251" s="31"/>
      <c r="W251" s="31"/>
      <c r="X251" s="31"/>
      <c r="Y251" s="31"/>
      <c r="Z251" s="31"/>
      <c r="AA251" s="31"/>
      <c r="AB251" s="31"/>
      <c r="AC251" s="31"/>
      <c r="AD251" s="31"/>
      <c r="AE251" s="31"/>
      <c r="AT251" s="19" t="s">
        <v>242</v>
      </c>
      <c r="AU251" s="19" t="s">
        <v>80</v>
      </c>
    </row>
    <row r="252" spans="1:65" s="2" customFormat="1" ht="24.2" customHeight="1">
      <c r="A252" s="31"/>
      <c r="B252" s="136"/>
      <c r="C252" s="137">
        <v>66</v>
      </c>
      <c r="D252" s="137" t="s">
        <v>141</v>
      </c>
      <c r="E252" s="138" t="s">
        <v>1001</v>
      </c>
      <c r="F252" s="139" t="s">
        <v>1002</v>
      </c>
      <c r="G252" s="140" t="s">
        <v>746</v>
      </c>
      <c r="H252" s="141">
        <v>16</v>
      </c>
      <c r="I252" s="142"/>
      <c r="J252" s="142">
        <f>ROUND(I252*H252,2)</f>
        <v>0</v>
      </c>
      <c r="K252" s="139" t="s">
        <v>148</v>
      </c>
      <c r="L252" s="32"/>
      <c r="M252" s="143" t="s">
        <v>3</v>
      </c>
      <c r="N252" s="144" t="s">
        <v>43</v>
      </c>
      <c r="O252" s="145">
        <v>1</v>
      </c>
      <c r="P252" s="145">
        <f>O252*H252</f>
        <v>16</v>
      </c>
      <c r="Q252" s="145">
        <v>0</v>
      </c>
      <c r="R252" s="145">
        <f>Q252*H252</f>
        <v>0</v>
      </c>
      <c r="S252" s="145">
        <v>0</v>
      </c>
      <c r="T252" s="146">
        <f>S252*H252</f>
        <v>0</v>
      </c>
      <c r="U252" s="31"/>
      <c r="V252" s="31"/>
      <c r="W252" s="31"/>
      <c r="X252" s="31"/>
      <c r="Y252" s="31"/>
      <c r="Z252" s="31"/>
      <c r="AA252" s="31"/>
      <c r="AB252" s="31"/>
      <c r="AC252" s="31"/>
      <c r="AD252" s="31"/>
      <c r="AE252" s="31"/>
      <c r="AR252" s="147" t="s">
        <v>747</v>
      </c>
      <c r="AT252" s="147" t="s">
        <v>141</v>
      </c>
      <c r="AU252" s="147" t="s">
        <v>80</v>
      </c>
      <c r="AY252" s="19" t="s">
        <v>138</v>
      </c>
      <c r="BE252" s="148">
        <f>IF(N252="základní",J252,0)</f>
        <v>0</v>
      </c>
      <c r="BF252" s="148">
        <f>IF(N252="snížená",J252,0)</f>
        <v>0</v>
      </c>
      <c r="BG252" s="148">
        <f>IF(N252="zákl. přenesená",J252,0)</f>
        <v>0</v>
      </c>
      <c r="BH252" s="148">
        <f>IF(N252="sníž. přenesená",J252,0)</f>
        <v>0</v>
      </c>
      <c r="BI252" s="148">
        <f>IF(N252="nulová",J252,0)</f>
        <v>0</v>
      </c>
      <c r="BJ252" s="19" t="s">
        <v>80</v>
      </c>
      <c r="BK252" s="148">
        <f>ROUND(I252*H252,2)</f>
        <v>0</v>
      </c>
      <c r="BL252" s="19" t="s">
        <v>747</v>
      </c>
      <c r="BM252" s="147" t="s">
        <v>1003</v>
      </c>
    </row>
    <row r="253" spans="1:65" s="2" customFormat="1" ht="19.5">
      <c r="A253" s="31"/>
      <c r="B253" s="32"/>
      <c r="C253" s="31"/>
      <c r="D253" s="150" t="s">
        <v>242</v>
      </c>
      <c r="E253" s="31"/>
      <c r="F253" s="163" t="s">
        <v>1004</v>
      </c>
      <c r="G253" s="31"/>
      <c r="H253" s="31"/>
      <c r="I253" s="31"/>
      <c r="J253" s="31"/>
      <c r="K253" s="31"/>
      <c r="L253" s="32"/>
      <c r="M253" s="189"/>
      <c r="N253" s="190"/>
      <c r="O253" s="191"/>
      <c r="P253" s="191"/>
      <c r="Q253" s="191"/>
      <c r="R253" s="191"/>
      <c r="S253" s="191"/>
      <c r="T253" s="192"/>
      <c r="U253" s="31"/>
      <c r="V253" s="31"/>
      <c r="W253" s="31"/>
      <c r="X253" s="31"/>
      <c r="Y253" s="31"/>
      <c r="Z253" s="31"/>
      <c r="AA253" s="31"/>
      <c r="AB253" s="31"/>
      <c r="AC253" s="31"/>
      <c r="AD253" s="31"/>
      <c r="AE253" s="31"/>
      <c r="AT253" s="19" t="s">
        <v>242</v>
      </c>
      <c r="AU253" s="19" t="s">
        <v>80</v>
      </c>
    </row>
    <row r="254" spans="1:65" s="2" customFormat="1" ht="6.95" customHeight="1">
      <c r="A254" s="31"/>
      <c r="B254" s="41"/>
      <c r="C254" s="42"/>
      <c r="D254" s="42"/>
      <c r="E254" s="42"/>
      <c r="F254" s="42"/>
      <c r="G254" s="42"/>
      <c r="H254" s="42"/>
      <c r="I254" s="42"/>
      <c r="J254" s="42"/>
      <c r="K254" s="42"/>
      <c r="L254" s="32"/>
      <c r="M254" s="31"/>
      <c r="O254" s="31"/>
      <c r="P254" s="31"/>
      <c r="Q254" s="31"/>
      <c r="R254" s="31"/>
      <c r="S254" s="31"/>
      <c r="T254" s="31"/>
      <c r="U254" s="31"/>
      <c r="V254" s="31"/>
      <c r="W254" s="31"/>
      <c r="X254" s="31"/>
      <c r="Y254" s="31"/>
      <c r="Z254" s="31"/>
      <c r="AA254" s="31"/>
      <c r="AB254" s="31"/>
      <c r="AC254" s="31"/>
      <c r="AD254" s="31"/>
      <c r="AE254" s="31"/>
    </row>
  </sheetData>
  <autoFilter ref="C88:K253" xr:uid="{00000000-0009-0000-0000-000004000000}"/>
  <mergeCells count="9">
    <mergeCell ref="E50:H50"/>
    <mergeCell ref="E79:H79"/>
    <mergeCell ref="E81:H81"/>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4" fitToHeight="100" orientation="portrait" horizontalDpi="4294967293" verticalDpi="4294967293" r:id="rId1"/>
  <headerFooter>
    <oddFooter>&amp;CStrana &amp;P z &amp;N</oddFooter>
  </headerFooter>
  <rowBreaks count="3" manualBreakCount="3">
    <brk id="112" min="2" max="10" man="1"/>
    <brk id="151" min="2" max="10" man="1"/>
    <brk id="212" min="2"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168"/>
  <sheetViews>
    <sheetView showGridLines="0" view="pageBreakPreview" topLeftCell="A79" zoomScale="90" zoomScaleSheetLayoutView="90" workbookViewId="0">
      <selection activeCell="I91" sqref="I91:I16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52" t="s">
        <v>6</v>
      </c>
      <c r="M2" s="346"/>
      <c r="N2" s="346"/>
      <c r="O2" s="346"/>
      <c r="P2" s="346"/>
      <c r="Q2" s="346"/>
      <c r="R2" s="346"/>
      <c r="S2" s="346"/>
      <c r="T2" s="346"/>
      <c r="U2" s="346"/>
      <c r="V2" s="346"/>
      <c r="AT2" s="19" t="s">
        <v>94</v>
      </c>
    </row>
    <row r="3" spans="1:46" s="1" customFormat="1" ht="6.95" customHeight="1">
      <c r="B3" s="20"/>
      <c r="C3" s="21"/>
      <c r="D3" s="21"/>
      <c r="E3" s="21"/>
      <c r="F3" s="21"/>
      <c r="G3" s="21"/>
      <c r="H3" s="21"/>
      <c r="I3" s="21"/>
      <c r="J3" s="21"/>
      <c r="K3" s="21"/>
      <c r="L3" s="22"/>
      <c r="AT3" s="19" t="s">
        <v>82</v>
      </c>
    </row>
    <row r="4" spans="1:46" s="1" customFormat="1" ht="24.95" customHeight="1">
      <c r="B4" s="22"/>
      <c r="D4" s="23" t="s">
        <v>101</v>
      </c>
      <c r="L4" s="22"/>
      <c r="M4" s="88" t="s">
        <v>11</v>
      </c>
      <c r="AT4" s="19" t="s">
        <v>4</v>
      </c>
    </row>
    <row r="5" spans="1:46" s="1" customFormat="1" ht="6.95" customHeight="1">
      <c r="B5" s="22"/>
      <c r="L5" s="22"/>
    </row>
    <row r="6" spans="1:46" s="1" customFormat="1" ht="12" customHeight="1">
      <c r="B6" s="22"/>
      <c r="D6" s="28" t="s">
        <v>14</v>
      </c>
      <c r="L6" s="22"/>
    </row>
    <row r="7" spans="1:46" s="1" customFormat="1" ht="23.25" customHeight="1">
      <c r="B7" s="22"/>
      <c r="E7" s="358" t="str">
        <f>'Rekapitulace stavby'!K6</f>
        <v>Rekonstrukce objektu vrátnice a areálu Nemocnice Nymburk s.r.o. , objekt na č.parc. 323, k.ú. Nymburk</v>
      </c>
      <c r="F7" s="359"/>
      <c r="G7" s="359"/>
      <c r="H7" s="359"/>
      <c r="L7" s="22"/>
    </row>
    <row r="8" spans="1:46" s="2" customFormat="1" ht="12" customHeight="1">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4" t="s">
        <v>1005</v>
      </c>
      <c r="F9" s="357"/>
      <c r="G9" s="357"/>
      <c r="H9" s="357"/>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45" t="str">
        <f>'Rekapitulace stavby'!E14</f>
        <v xml:space="preserve"> </v>
      </c>
      <c r="F18" s="345"/>
      <c r="G18" s="345"/>
      <c r="H18" s="345"/>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48" t="s">
        <v>37</v>
      </c>
      <c r="F27" s="348"/>
      <c r="G27" s="348"/>
      <c r="H27" s="348"/>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38</v>
      </c>
      <c r="E30" s="31"/>
      <c r="F30" s="31"/>
      <c r="G30" s="31"/>
      <c r="H30" s="31"/>
      <c r="I30" s="31"/>
      <c r="J30" s="65">
        <f>ROUND(J88,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42</v>
      </c>
      <c r="E33" s="28" t="s">
        <v>43</v>
      </c>
      <c r="F33" s="95">
        <f>ROUND((SUM(BE88:BE167)),  2)</f>
        <v>0</v>
      </c>
      <c r="G33" s="31"/>
      <c r="H33" s="31"/>
      <c r="I33" s="96">
        <v>0.21</v>
      </c>
      <c r="J33" s="95">
        <f>ROUND(((SUM(BE88:BE167))*I33),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44</v>
      </c>
      <c r="F34" s="95">
        <f>ROUND((SUM(BF88:BF167)),  2)</f>
        <v>0</v>
      </c>
      <c r="G34" s="31"/>
      <c r="H34" s="31"/>
      <c r="I34" s="96">
        <v>0.15</v>
      </c>
      <c r="J34" s="95">
        <f>ROUND(((SUM(BF88:BF167))*I34),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45</v>
      </c>
      <c r="F35" s="95">
        <f>ROUND((SUM(BG88:BG167)),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46</v>
      </c>
      <c r="F36" s="95">
        <f>ROUND((SUM(BH88:BH167)),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47</v>
      </c>
      <c r="F37" s="95">
        <f>ROUND((SUM(BI88:BI167)),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58" t="str">
        <f>E7</f>
        <v>Rekonstrukce objektu vrátnice a areálu Nemocnice Nymburk s.r.o. , objekt na č.parc. 323, k.ú. Nymburk</v>
      </c>
      <c r="F48" s="359"/>
      <c r="G48" s="359"/>
      <c r="H48" s="359"/>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4" t="str">
        <f>E9</f>
        <v>05 - VZT</v>
      </c>
      <c r="F50" s="357"/>
      <c r="G50" s="357"/>
      <c r="H50" s="357"/>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28</v>
      </c>
      <c r="D55" s="31"/>
      <c r="E55" s="31"/>
      <c r="F55" s="26" t="str">
        <f>IF(E18="","",E18)</f>
        <v xml:space="preserve"> </v>
      </c>
      <c r="G55" s="31"/>
      <c r="H55" s="31"/>
      <c r="I55" s="28" t="s">
        <v>35</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70</v>
      </c>
      <c r="D59" s="31"/>
      <c r="E59" s="31"/>
      <c r="F59" s="31"/>
      <c r="G59" s="31"/>
      <c r="H59" s="31"/>
      <c r="I59" s="31"/>
      <c r="J59" s="65">
        <f>J88</f>
        <v>0</v>
      </c>
      <c r="K59" s="31"/>
      <c r="L59" s="89"/>
      <c r="S59" s="31"/>
      <c r="T59" s="31"/>
      <c r="U59" s="31"/>
      <c r="V59" s="31"/>
      <c r="W59" s="31"/>
      <c r="X59" s="31"/>
      <c r="Y59" s="31"/>
      <c r="Z59" s="31"/>
      <c r="AA59" s="31"/>
      <c r="AB59" s="31"/>
      <c r="AC59" s="31"/>
      <c r="AD59" s="31"/>
      <c r="AE59" s="31"/>
      <c r="AU59" s="19" t="s">
        <v>107</v>
      </c>
    </row>
    <row r="60" spans="1:47" s="9" customFormat="1" ht="24.95" customHeight="1">
      <c r="B60" s="106"/>
      <c r="D60" s="107" t="s">
        <v>108</v>
      </c>
      <c r="E60" s="108"/>
      <c r="F60" s="108"/>
      <c r="G60" s="108"/>
      <c r="H60" s="108"/>
      <c r="I60" s="108"/>
      <c r="J60" s="109">
        <f>J89</f>
        <v>0</v>
      </c>
      <c r="L60" s="106"/>
    </row>
    <row r="61" spans="1:47" s="10" customFormat="1" ht="19.899999999999999" customHeight="1">
      <c r="B61" s="110"/>
      <c r="D61" s="111" t="s">
        <v>109</v>
      </c>
      <c r="E61" s="112"/>
      <c r="F61" s="112"/>
      <c r="G61" s="112"/>
      <c r="H61" s="112"/>
      <c r="I61" s="112"/>
      <c r="J61" s="113">
        <f>J90</f>
        <v>0</v>
      </c>
      <c r="L61" s="110"/>
    </row>
    <row r="62" spans="1:47" s="10" customFormat="1" ht="19.899999999999999" customHeight="1">
      <c r="B62" s="110"/>
      <c r="D62" s="111" t="s">
        <v>111</v>
      </c>
      <c r="E62" s="112"/>
      <c r="F62" s="112"/>
      <c r="G62" s="112"/>
      <c r="H62" s="112"/>
      <c r="I62" s="112"/>
      <c r="J62" s="113">
        <f>J97</f>
        <v>0</v>
      </c>
      <c r="L62" s="110"/>
    </row>
    <row r="63" spans="1:47" s="10" customFormat="1" ht="19.899999999999999" customHeight="1">
      <c r="B63" s="110"/>
      <c r="D63" s="111" t="s">
        <v>112</v>
      </c>
      <c r="E63" s="112"/>
      <c r="F63" s="112"/>
      <c r="G63" s="112"/>
      <c r="H63" s="112"/>
      <c r="I63" s="112"/>
      <c r="J63" s="113">
        <f>J104</f>
        <v>0</v>
      </c>
      <c r="L63" s="110"/>
    </row>
    <row r="64" spans="1:47" s="10" customFormat="1" ht="19.899999999999999" customHeight="1">
      <c r="B64" s="110"/>
      <c r="D64" s="111" t="s">
        <v>113</v>
      </c>
      <c r="E64" s="112"/>
      <c r="F64" s="112"/>
      <c r="G64" s="112"/>
      <c r="H64" s="112"/>
      <c r="I64" s="112"/>
      <c r="J64" s="113">
        <f>J117</f>
        <v>0</v>
      </c>
      <c r="L64" s="110"/>
    </row>
    <row r="65" spans="1:31" s="9" customFormat="1" ht="24.95" customHeight="1">
      <c r="B65" s="106"/>
      <c r="D65" s="107" t="s">
        <v>114</v>
      </c>
      <c r="E65" s="108"/>
      <c r="F65" s="108"/>
      <c r="G65" s="108"/>
      <c r="H65" s="108"/>
      <c r="I65" s="108"/>
      <c r="J65" s="109">
        <f>J120</f>
        <v>0</v>
      </c>
      <c r="L65" s="106"/>
    </row>
    <row r="66" spans="1:31" s="10" customFormat="1" ht="19.899999999999999" customHeight="1">
      <c r="B66" s="110"/>
      <c r="D66" s="111" t="s">
        <v>1006</v>
      </c>
      <c r="E66" s="112"/>
      <c r="F66" s="112"/>
      <c r="G66" s="112"/>
      <c r="H66" s="112"/>
      <c r="I66" s="112"/>
      <c r="J66" s="113">
        <f>J121</f>
        <v>0</v>
      </c>
      <c r="L66" s="110"/>
    </row>
    <row r="67" spans="1:31" s="10" customFormat="1" ht="19.899999999999999" customHeight="1">
      <c r="B67" s="110"/>
      <c r="D67" s="111" t="s">
        <v>1007</v>
      </c>
      <c r="E67" s="112"/>
      <c r="F67" s="112"/>
      <c r="G67" s="112"/>
      <c r="H67" s="112"/>
      <c r="I67" s="112"/>
      <c r="J67" s="113">
        <f>J131</f>
        <v>0</v>
      </c>
      <c r="L67" s="110"/>
    </row>
    <row r="68" spans="1:31" s="9" customFormat="1" ht="24.95" customHeight="1">
      <c r="B68" s="106"/>
      <c r="D68" s="107" t="s">
        <v>530</v>
      </c>
      <c r="E68" s="108"/>
      <c r="F68" s="108"/>
      <c r="G68" s="108"/>
      <c r="H68" s="108"/>
      <c r="I68" s="108"/>
      <c r="J68" s="109">
        <f>J163</f>
        <v>0</v>
      </c>
      <c r="L68" s="106"/>
    </row>
    <row r="69" spans="1:31" s="2" customFormat="1" ht="21.75" customHeight="1">
      <c r="A69" s="31"/>
      <c r="B69" s="32"/>
      <c r="C69" s="31"/>
      <c r="D69" s="31"/>
      <c r="E69" s="31"/>
      <c r="F69" s="31"/>
      <c r="G69" s="31"/>
      <c r="H69" s="31"/>
      <c r="I69" s="31"/>
      <c r="J69" s="31"/>
      <c r="K69" s="31"/>
      <c r="L69" s="89"/>
      <c r="S69" s="31"/>
      <c r="T69" s="31"/>
      <c r="U69" s="31"/>
      <c r="V69" s="31"/>
      <c r="W69" s="31"/>
      <c r="X69" s="31"/>
      <c r="Y69" s="31"/>
      <c r="Z69" s="31"/>
      <c r="AA69" s="31"/>
      <c r="AB69" s="31"/>
      <c r="AC69" s="31"/>
      <c r="AD69" s="31"/>
      <c r="AE69" s="31"/>
    </row>
    <row r="70" spans="1:31" s="2" customFormat="1" ht="6.95" customHeight="1">
      <c r="A70" s="31"/>
      <c r="B70" s="41"/>
      <c r="C70" s="42"/>
      <c r="D70" s="42"/>
      <c r="E70" s="42"/>
      <c r="F70" s="42"/>
      <c r="G70" s="42"/>
      <c r="H70" s="42"/>
      <c r="I70" s="42"/>
      <c r="J70" s="42"/>
      <c r="K70" s="42"/>
      <c r="L70" s="89"/>
      <c r="S70" s="31"/>
      <c r="T70" s="31"/>
      <c r="U70" s="31"/>
      <c r="V70" s="31"/>
      <c r="W70" s="31"/>
      <c r="X70" s="31"/>
      <c r="Y70" s="31"/>
      <c r="Z70" s="31"/>
      <c r="AA70" s="31"/>
      <c r="AB70" s="31"/>
      <c r="AC70" s="31"/>
      <c r="AD70" s="31"/>
      <c r="AE70" s="31"/>
    </row>
    <row r="74" spans="1:31" s="2" customFormat="1" ht="6.95" customHeight="1">
      <c r="A74" s="31"/>
      <c r="B74" s="43"/>
      <c r="C74" s="44"/>
      <c r="D74" s="44"/>
      <c r="E74" s="44"/>
      <c r="F74" s="44"/>
      <c r="G74" s="44"/>
      <c r="H74" s="44"/>
      <c r="I74" s="44"/>
      <c r="J74" s="44"/>
      <c r="K74" s="44"/>
      <c r="L74" s="89"/>
      <c r="S74" s="31"/>
      <c r="T74" s="31"/>
      <c r="U74" s="31"/>
      <c r="V74" s="31"/>
      <c r="W74" s="31"/>
      <c r="X74" s="31"/>
      <c r="Y74" s="31"/>
      <c r="Z74" s="31"/>
      <c r="AA74" s="31"/>
      <c r="AB74" s="31"/>
      <c r="AC74" s="31"/>
      <c r="AD74" s="31"/>
      <c r="AE74" s="31"/>
    </row>
    <row r="75" spans="1:31" s="2" customFormat="1" ht="24.95" customHeight="1">
      <c r="A75" s="31"/>
      <c r="B75" s="32"/>
      <c r="C75" s="23" t="s">
        <v>123</v>
      </c>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6.95" customHeight="1">
      <c r="A76" s="31"/>
      <c r="B76" s="32"/>
      <c r="C76" s="31"/>
      <c r="D76" s="31"/>
      <c r="E76" s="31"/>
      <c r="F76" s="31"/>
      <c r="G76" s="31"/>
      <c r="H76" s="31"/>
      <c r="I76" s="31"/>
      <c r="J76" s="31"/>
      <c r="K76" s="31"/>
      <c r="L76" s="89"/>
      <c r="S76" s="31"/>
      <c r="T76" s="31"/>
      <c r="U76" s="31"/>
      <c r="V76" s="31"/>
      <c r="W76" s="31"/>
      <c r="X76" s="31"/>
      <c r="Y76" s="31"/>
      <c r="Z76" s="31"/>
      <c r="AA76" s="31"/>
      <c r="AB76" s="31"/>
      <c r="AC76" s="31"/>
      <c r="AD76" s="31"/>
      <c r="AE76" s="31"/>
    </row>
    <row r="77" spans="1:31" s="2" customFormat="1" ht="12" customHeight="1">
      <c r="A77" s="31"/>
      <c r="B77" s="32"/>
      <c r="C77" s="28" t="s">
        <v>14</v>
      </c>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23.25" customHeight="1">
      <c r="A78" s="31"/>
      <c r="B78" s="32"/>
      <c r="C78" s="31"/>
      <c r="D78" s="31"/>
      <c r="E78" s="358" t="str">
        <f>E7</f>
        <v>Rekonstrukce objektu vrátnice a areálu Nemocnice Nymburk s.r.o. , objekt na č.parc. 323, k.ú. Nymburk</v>
      </c>
      <c r="F78" s="359"/>
      <c r="G78" s="359"/>
      <c r="H78" s="359"/>
      <c r="I78" s="31"/>
      <c r="J78" s="31"/>
      <c r="K78" s="31"/>
      <c r="L78" s="89"/>
      <c r="S78" s="31"/>
      <c r="T78" s="31"/>
      <c r="U78" s="31"/>
      <c r="V78" s="31"/>
      <c r="W78" s="31"/>
      <c r="X78" s="31"/>
      <c r="Y78" s="31"/>
      <c r="Z78" s="31"/>
      <c r="AA78" s="31"/>
      <c r="AB78" s="31"/>
      <c r="AC78" s="31"/>
      <c r="AD78" s="31"/>
      <c r="AE78" s="31"/>
    </row>
    <row r="79" spans="1:31" s="2" customFormat="1" ht="12" customHeight="1">
      <c r="A79" s="31"/>
      <c r="B79" s="32"/>
      <c r="C79" s="28" t="s">
        <v>102</v>
      </c>
      <c r="D79" s="31"/>
      <c r="E79" s="31"/>
      <c r="F79" s="31"/>
      <c r="G79" s="31"/>
      <c r="H79" s="31"/>
      <c r="I79" s="31"/>
      <c r="J79" s="31"/>
      <c r="K79" s="31"/>
      <c r="L79" s="89"/>
      <c r="S79" s="31"/>
      <c r="T79" s="31"/>
      <c r="U79" s="31"/>
      <c r="V79" s="31"/>
      <c r="W79" s="31"/>
      <c r="X79" s="31"/>
      <c r="Y79" s="31"/>
      <c r="Z79" s="31"/>
      <c r="AA79" s="31"/>
      <c r="AB79" s="31"/>
      <c r="AC79" s="31"/>
      <c r="AD79" s="31"/>
      <c r="AE79" s="31"/>
    </row>
    <row r="80" spans="1:31" s="2" customFormat="1" ht="16.5" customHeight="1">
      <c r="A80" s="31"/>
      <c r="B80" s="32"/>
      <c r="C80" s="31"/>
      <c r="D80" s="31"/>
      <c r="E80" s="324" t="str">
        <f>E9</f>
        <v>05 - VZT</v>
      </c>
      <c r="F80" s="357"/>
      <c r="G80" s="357"/>
      <c r="H80" s="357"/>
      <c r="I80" s="31"/>
      <c r="J80" s="31"/>
      <c r="K80" s="31"/>
      <c r="L80" s="89"/>
      <c r="S80" s="31"/>
      <c r="T80" s="31"/>
      <c r="U80" s="31"/>
      <c r="V80" s="31"/>
      <c r="W80" s="31"/>
      <c r="X80" s="31"/>
      <c r="Y80" s="31"/>
      <c r="Z80" s="31"/>
      <c r="AA80" s="31"/>
      <c r="AB80" s="31"/>
      <c r="AC80" s="31"/>
      <c r="AD80" s="31"/>
      <c r="AE80" s="31"/>
    </row>
    <row r="81" spans="1:65" s="2" customFormat="1" ht="6.95" customHeight="1">
      <c r="A81" s="31"/>
      <c r="B81" s="32"/>
      <c r="C81" s="31"/>
      <c r="D81" s="31"/>
      <c r="E81" s="31"/>
      <c r="F81" s="31"/>
      <c r="G81" s="31"/>
      <c r="H81" s="31"/>
      <c r="I81" s="31"/>
      <c r="J81" s="31"/>
      <c r="K81" s="31"/>
      <c r="L81" s="89"/>
      <c r="S81" s="31"/>
      <c r="T81" s="31"/>
      <c r="U81" s="31"/>
      <c r="V81" s="31"/>
      <c r="W81" s="31"/>
      <c r="X81" s="31"/>
      <c r="Y81" s="31"/>
      <c r="Z81" s="31"/>
      <c r="AA81" s="31"/>
      <c r="AB81" s="31"/>
      <c r="AC81" s="31"/>
      <c r="AD81" s="31"/>
      <c r="AE81" s="31"/>
    </row>
    <row r="82" spans="1:65" s="2" customFormat="1" ht="12" customHeight="1">
      <c r="A82" s="31"/>
      <c r="B82" s="32"/>
      <c r="C82" s="28" t="s">
        <v>19</v>
      </c>
      <c r="D82" s="31"/>
      <c r="E82" s="31"/>
      <c r="F82" s="26" t="str">
        <f>F12</f>
        <v>Nymburk</v>
      </c>
      <c r="G82" s="31"/>
      <c r="H82" s="31"/>
      <c r="I82" s="28" t="s">
        <v>21</v>
      </c>
      <c r="J82" s="49">
        <f>IF(J12="","",J12)</f>
        <v>44144</v>
      </c>
      <c r="K82" s="31"/>
      <c r="L82" s="89"/>
      <c r="S82" s="31"/>
      <c r="T82" s="31"/>
      <c r="U82" s="31"/>
      <c r="V82" s="31"/>
      <c r="W82" s="31"/>
      <c r="X82" s="31"/>
      <c r="Y82" s="31"/>
      <c r="Z82" s="31"/>
      <c r="AA82" s="31"/>
      <c r="AB82" s="31"/>
      <c r="AC82" s="31"/>
      <c r="AD82" s="31"/>
      <c r="AE82" s="31"/>
    </row>
    <row r="83" spans="1:65" s="2" customFormat="1" ht="6.95" customHeight="1">
      <c r="A83" s="31"/>
      <c r="B83" s="32"/>
      <c r="C83" s="31"/>
      <c r="D83" s="31"/>
      <c r="E83" s="31"/>
      <c r="F83" s="31"/>
      <c r="G83" s="31"/>
      <c r="H83" s="31"/>
      <c r="I83" s="31"/>
      <c r="J83" s="31"/>
      <c r="K83" s="31"/>
      <c r="L83" s="89"/>
      <c r="S83" s="31"/>
      <c r="T83" s="31"/>
      <c r="U83" s="31"/>
      <c r="V83" s="31"/>
      <c r="W83" s="31"/>
      <c r="X83" s="31"/>
      <c r="Y83" s="31"/>
      <c r="Z83" s="31"/>
      <c r="AA83" s="31"/>
      <c r="AB83" s="31"/>
      <c r="AC83" s="31"/>
      <c r="AD83" s="31"/>
      <c r="AE83" s="31"/>
    </row>
    <row r="84" spans="1:65" s="2" customFormat="1" ht="25.7" customHeight="1">
      <c r="A84" s="31"/>
      <c r="B84" s="32"/>
      <c r="C84" s="28" t="s">
        <v>22</v>
      </c>
      <c r="D84" s="31"/>
      <c r="E84" s="31"/>
      <c r="F84" s="26" t="str">
        <f>E15</f>
        <v>Nemocnice Nymburk s.r.o.</v>
      </c>
      <c r="G84" s="31"/>
      <c r="H84" s="31"/>
      <c r="I84" s="28" t="s">
        <v>30</v>
      </c>
      <c r="J84" s="29" t="str">
        <f>E21</f>
        <v>Ing. arch. Pavel Petrák</v>
      </c>
      <c r="K84" s="31"/>
      <c r="L84" s="89"/>
      <c r="S84" s="31"/>
      <c r="T84" s="31"/>
      <c r="U84" s="31"/>
      <c r="V84" s="31"/>
      <c r="W84" s="31"/>
      <c r="X84" s="31"/>
      <c r="Y84" s="31"/>
      <c r="Z84" s="31"/>
      <c r="AA84" s="31"/>
      <c r="AB84" s="31"/>
      <c r="AC84" s="31"/>
      <c r="AD84" s="31"/>
      <c r="AE84" s="31"/>
    </row>
    <row r="85" spans="1:65" s="2" customFormat="1" ht="15.2" customHeight="1">
      <c r="A85" s="31"/>
      <c r="B85" s="32"/>
      <c r="C85" s="28" t="s">
        <v>28</v>
      </c>
      <c r="D85" s="31"/>
      <c r="E85" s="31"/>
      <c r="F85" s="26" t="str">
        <f>IF(E18="","",E18)</f>
        <v xml:space="preserve"> </v>
      </c>
      <c r="G85" s="31"/>
      <c r="H85" s="31"/>
      <c r="I85" s="28" t="s">
        <v>35</v>
      </c>
      <c r="J85" s="29" t="str">
        <f>E24</f>
        <v xml:space="preserve"> </v>
      </c>
      <c r="K85" s="31"/>
      <c r="L85" s="89"/>
      <c r="S85" s="31"/>
      <c r="T85" s="31"/>
      <c r="U85" s="31"/>
      <c r="V85" s="31"/>
      <c r="W85" s="31"/>
      <c r="X85" s="31"/>
      <c r="Y85" s="31"/>
      <c r="Z85" s="31"/>
      <c r="AA85" s="31"/>
      <c r="AB85" s="31"/>
      <c r="AC85" s="31"/>
      <c r="AD85" s="31"/>
      <c r="AE85" s="31"/>
    </row>
    <row r="86" spans="1:65" s="2" customFormat="1" ht="10.35" customHeight="1">
      <c r="A86" s="31"/>
      <c r="B86" s="32"/>
      <c r="C86" s="31"/>
      <c r="D86" s="31"/>
      <c r="E86" s="31"/>
      <c r="F86" s="31"/>
      <c r="G86" s="31"/>
      <c r="H86" s="31"/>
      <c r="I86" s="31"/>
      <c r="J86" s="31"/>
      <c r="K86" s="31"/>
      <c r="L86" s="89"/>
      <c r="S86" s="31"/>
      <c r="T86" s="31"/>
      <c r="U86" s="31"/>
      <c r="V86" s="31"/>
      <c r="W86" s="31"/>
      <c r="X86" s="31"/>
      <c r="Y86" s="31"/>
      <c r="Z86" s="31"/>
      <c r="AA86" s="31"/>
      <c r="AB86" s="31"/>
      <c r="AC86" s="31"/>
      <c r="AD86" s="31"/>
      <c r="AE86" s="31"/>
    </row>
    <row r="87" spans="1:65" s="11" customFormat="1" ht="29.25" customHeight="1">
      <c r="A87" s="114"/>
      <c r="B87" s="115"/>
      <c r="C87" s="116" t="s">
        <v>124</v>
      </c>
      <c r="D87" s="117" t="s">
        <v>57</v>
      </c>
      <c r="E87" s="117" t="s">
        <v>53</v>
      </c>
      <c r="F87" s="117" t="s">
        <v>54</v>
      </c>
      <c r="G87" s="117" t="s">
        <v>125</v>
      </c>
      <c r="H87" s="117" t="s">
        <v>126</v>
      </c>
      <c r="I87" s="117" t="s">
        <v>127</v>
      </c>
      <c r="J87" s="117" t="s">
        <v>106</v>
      </c>
      <c r="K87" s="118" t="s">
        <v>128</v>
      </c>
      <c r="L87" s="119"/>
      <c r="M87" s="56" t="s">
        <v>3</v>
      </c>
      <c r="N87" s="57" t="s">
        <v>42</v>
      </c>
      <c r="O87" s="57" t="s">
        <v>129</v>
      </c>
      <c r="P87" s="57" t="s">
        <v>130</v>
      </c>
      <c r="Q87" s="57" t="s">
        <v>131</v>
      </c>
      <c r="R87" s="57" t="s">
        <v>132</v>
      </c>
      <c r="S87" s="57" t="s">
        <v>133</v>
      </c>
      <c r="T87" s="58" t="s">
        <v>134</v>
      </c>
      <c r="U87" s="114"/>
      <c r="V87" s="114"/>
      <c r="W87" s="114"/>
      <c r="X87" s="114"/>
      <c r="Y87" s="114"/>
      <c r="Z87" s="114"/>
      <c r="AA87" s="114"/>
      <c r="AB87" s="114"/>
      <c r="AC87" s="114"/>
      <c r="AD87" s="114"/>
      <c r="AE87" s="114"/>
    </row>
    <row r="88" spans="1:65" s="2" customFormat="1" ht="22.9" customHeight="1">
      <c r="A88" s="31"/>
      <c r="B88" s="32"/>
      <c r="C88" s="63" t="s">
        <v>135</v>
      </c>
      <c r="D88" s="31"/>
      <c r="E88" s="31"/>
      <c r="F88" s="31"/>
      <c r="G88" s="31"/>
      <c r="H88" s="31"/>
      <c r="I88" s="31"/>
      <c r="J88" s="120">
        <f>BK88</f>
        <v>0</v>
      </c>
      <c r="K88" s="31"/>
      <c r="L88" s="32"/>
      <c r="M88" s="59"/>
      <c r="N88" s="50"/>
      <c r="O88" s="60"/>
      <c r="P88" s="121">
        <f>P89+P120+P163</f>
        <v>35.805533762500005</v>
      </c>
      <c r="Q88" s="60"/>
      <c r="R88" s="121">
        <f>R89+R120+R163</f>
        <v>9.7994499999999984E-2</v>
      </c>
      <c r="S88" s="60"/>
      <c r="T88" s="122">
        <f>T89+T120+T163</f>
        <v>3.2000000000000001E-2</v>
      </c>
      <c r="U88" s="31"/>
      <c r="V88" s="31"/>
      <c r="W88" s="31"/>
      <c r="X88" s="31"/>
      <c r="Y88" s="31"/>
      <c r="Z88" s="31"/>
      <c r="AA88" s="31"/>
      <c r="AB88" s="31"/>
      <c r="AC88" s="31"/>
      <c r="AD88" s="31"/>
      <c r="AE88" s="31"/>
      <c r="AT88" s="19" t="s">
        <v>71</v>
      </c>
      <c r="AU88" s="19" t="s">
        <v>107</v>
      </c>
      <c r="BK88" s="123">
        <f>BK89+BK120+BK163</f>
        <v>0</v>
      </c>
    </row>
    <row r="89" spans="1:65" s="12" customFormat="1" ht="25.9" customHeight="1">
      <c r="B89" s="124"/>
      <c r="D89" s="125" t="s">
        <v>71</v>
      </c>
      <c r="E89" s="126" t="s">
        <v>136</v>
      </c>
      <c r="F89" s="126" t="s">
        <v>137</v>
      </c>
      <c r="J89" s="127">
        <f>BK89</f>
        <v>0</v>
      </c>
      <c r="L89" s="124"/>
      <c r="M89" s="128"/>
      <c r="N89" s="129"/>
      <c r="O89" s="129"/>
      <c r="P89" s="130">
        <f>P90+P97+P104+P117</f>
        <v>3.0310777624999998</v>
      </c>
      <c r="Q89" s="129"/>
      <c r="R89" s="130">
        <f>R90+R97+R104+R117</f>
        <v>8.2029999999999992E-2</v>
      </c>
      <c r="S89" s="129"/>
      <c r="T89" s="131">
        <f>T90+T97+T104+T117</f>
        <v>3.2000000000000001E-2</v>
      </c>
      <c r="AR89" s="125" t="s">
        <v>80</v>
      </c>
      <c r="AT89" s="132" t="s">
        <v>71</v>
      </c>
      <c r="AU89" s="132" t="s">
        <v>72</v>
      </c>
      <c r="AY89" s="125" t="s">
        <v>138</v>
      </c>
      <c r="BK89" s="133">
        <f>BK90+BK97+BK104+BK117</f>
        <v>0</v>
      </c>
    </row>
    <row r="90" spans="1:65" s="12" customFormat="1" ht="22.9" customHeight="1">
      <c r="B90" s="124"/>
      <c r="D90" s="125" t="s">
        <v>71</v>
      </c>
      <c r="E90" s="134" t="s">
        <v>139</v>
      </c>
      <c r="F90" s="134" t="s">
        <v>140</v>
      </c>
      <c r="J90" s="135">
        <f>BK90</f>
        <v>0</v>
      </c>
      <c r="L90" s="124"/>
      <c r="M90" s="128"/>
      <c r="N90" s="129"/>
      <c r="O90" s="129"/>
      <c r="P90" s="130">
        <f>SUM(P91:P96)</f>
        <v>1.2910000000000001</v>
      </c>
      <c r="Q90" s="129"/>
      <c r="R90" s="130">
        <f>SUM(R91:R96)</f>
        <v>8.2029999999999992E-2</v>
      </c>
      <c r="S90" s="129"/>
      <c r="T90" s="131">
        <f>SUM(T91:T96)</f>
        <v>0</v>
      </c>
      <c r="AR90" s="125" t="s">
        <v>80</v>
      </c>
      <c r="AT90" s="132" t="s">
        <v>71</v>
      </c>
      <c r="AU90" s="132" t="s">
        <v>80</v>
      </c>
      <c r="AY90" s="125" t="s">
        <v>138</v>
      </c>
      <c r="BK90" s="133">
        <f>SUM(BK91:BK96)</f>
        <v>0</v>
      </c>
    </row>
    <row r="91" spans="1:65" s="2" customFormat="1" ht="24.2" customHeight="1">
      <c r="A91" s="31"/>
      <c r="B91" s="136"/>
      <c r="C91" s="137" t="s">
        <v>80</v>
      </c>
      <c r="D91" s="137" t="s">
        <v>141</v>
      </c>
      <c r="E91" s="138" t="s">
        <v>533</v>
      </c>
      <c r="F91" s="139" t="s">
        <v>534</v>
      </c>
      <c r="G91" s="140" t="s">
        <v>147</v>
      </c>
      <c r="H91" s="141">
        <f>H93</f>
        <v>5</v>
      </c>
      <c r="I91" s="142"/>
      <c r="J91" s="142">
        <f>ROUND(I91*H91,2)</f>
        <v>0</v>
      </c>
      <c r="K91" s="139" t="s">
        <v>148</v>
      </c>
      <c r="L91" s="32"/>
      <c r="M91" s="143" t="s">
        <v>3</v>
      </c>
      <c r="N91" s="144" t="s">
        <v>43</v>
      </c>
      <c r="O91" s="145">
        <v>0.19500000000000001</v>
      </c>
      <c r="P91" s="145">
        <f>O91*H91</f>
        <v>0.97500000000000009</v>
      </c>
      <c r="Q91" s="145">
        <v>1.2619999999999999E-2</v>
      </c>
      <c r="R91" s="145">
        <f>Q91*H91</f>
        <v>6.3099999999999989E-2</v>
      </c>
      <c r="S91" s="145">
        <v>0</v>
      </c>
      <c r="T91" s="146">
        <f>S91*H91</f>
        <v>0</v>
      </c>
      <c r="U91" s="31"/>
      <c r="V91" s="31"/>
      <c r="W91" s="31"/>
      <c r="X91" s="31"/>
      <c r="Y91" s="31"/>
      <c r="Z91" s="31"/>
      <c r="AA91" s="31"/>
      <c r="AB91" s="31"/>
      <c r="AC91" s="31"/>
      <c r="AD91" s="31"/>
      <c r="AE91" s="31"/>
      <c r="AR91" s="147" t="s">
        <v>144</v>
      </c>
      <c r="AT91" s="147" t="s">
        <v>141</v>
      </c>
      <c r="AU91" s="147" t="s">
        <v>82</v>
      </c>
      <c r="AY91" s="19" t="s">
        <v>138</v>
      </c>
      <c r="BE91" s="148">
        <f>IF(N91="základní",J91,0)</f>
        <v>0</v>
      </c>
      <c r="BF91" s="148">
        <f>IF(N91="snížená",J91,0)</f>
        <v>0</v>
      </c>
      <c r="BG91" s="148">
        <f>IF(N91="zákl. přenesená",J91,0)</f>
        <v>0</v>
      </c>
      <c r="BH91" s="148">
        <f>IF(N91="sníž. přenesená",J91,0)</f>
        <v>0</v>
      </c>
      <c r="BI91" s="148">
        <f>IF(N91="nulová",J91,0)</f>
        <v>0</v>
      </c>
      <c r="BJ91" s="19" t="s">
        <v>80</v>
      </c>
      <c r="BK91" s="148">
        <f>ROUND(I91*H91,2)</f>
        <v>0</v>
      </c>
      <c r="BL91" s="19" t="s">
        <v>144</v>
      </c>
      <c r="BM91" s="147" t="s">
        <v>1008</v>
      </c>
    </row>
    <row r="92" spans="1:65" s="13" customFormat="1">
      <c r="B92" s="149"/>
      <c r="D92" s="150" t="s">
        <v>145</v>
      </c>
      <c r="E92" s="151" t="s">
        <v>3</v>
      </c>
      <c r="F92" s="152" t="s">
        <v>198</v>
      </c>
      <c r="H92" s="151" t="s">
        <v>3</v>
      </c>
      <c r="L92" s="149"/>
      <c r="M92" s="153"/>
      <c r="N92" s="154"/>
      <c r="O92" s="154"/>
      <c r="P92" s="154"/>
      <c r="Q92" s="154"/>
      <c r="R92" s="154"/>
      <c r="S92" s="154"/>
      <c r="T92" s="155"/>
      <c r="AT92" s="151" t="s">
        <v>145</v>
      </c>
      <c r="AU92" s="151" t="s">
        <v>82</v>
      </c>
      <c r="AV92" s="13" t="s">
        <v>80</v>
      </c>
      <c r="AW92" s="13" t="s">
        <v>34</v>
      </c>
      <c r="AX92" s="13" t="s">
        <v>72</v>
      </c>
      <c r="AY92" s="151" t="s">
        <v>138</v>
      </c>
    </row>
    <row r="93" spans="1:65" s="14" customFormat="1">
      <c r="B93" s="156"/>
      <c r="D93" s="150" t="s">
        <v>145</v>
      </c>
      <c r="E93" s="157" t="s">
        <v>3</v>
      </c>
      <c r="F93" s="158" t="str">
        <f>F100</f>
        <v>3+2</v>
      </c>
      <c r="H93" s="159">
        <f>H100</f>
        <v>5</v>
      </c>
      <c r="L93" s="156"/>
      <c r="M93" s="160"/>
      <c r="N93" s="161"/>
      <c r="O93" s="161"/>
      <c r="P93" s="161"/>
      <c r="Q93" s="161"/>
      <c r="R93" s="161"/>
      <c r="S93" s="161"/>
      <c r="T93" s="162"/>
      <c r="AT93" s="157" t="s">
        <v>145</v>
      </c>
      <c r="AU93" s="157" t="s">
        <v>82</v>
      </c>
      <c r="AV93" s="14" t="s">
        <v>82</v>
      </c>
      <c r="AW93" s="14" t="s">
        <v>34</v>
      </c>
      <c r="AX93" s="14" t="s">
        <v>80</v>
      </c>
      <c r="AY93" s="157" t="s">
        <v>138</v>
      </c>
    </row>
    <row r="94" spans="1:65" s="2" customFormat="1" ht="37.9" customHeight="1">
      <c r="A94" s="31"/>
      <c r="B94" s="136"/>
      <c r="C94" s="137" t="s">
        <v>82</v>
      </c>
      <c r="D94" s="137" t="s">
        <v>141</v>
      </c>
      <c r="E94" s="138" t="s">
        <v>536</v>
      </c>
      <c r="F94" s="139" t="s">
        <v>537</v>
      </c>
      <c r="G94" s="140" t="s">
        <v>147</v>
      </c>
      <c r="H94" s="141">
        <f>H101</f>
        <v>1</v>
      </c>
      <c r="I94" s="142"/>
      <c r="J94" s="142">
        <f>ROUND(I94*H94,2)</f>
        <v>0</v>
      </c>
      <c r="K94" s="139" t="s">
        <v>148</v>
      </c>
      <c r="L94" s="32"/>
      <c r="M94" s="143" t="s">
        <v>3</v>
      </c>
      <c r="N94" s="144" t="s">
        <v>43</v>
      </c>
      <c r="O94" s="145">
        <v>0.316</v>
      </c>
      <c r="P94" s="145">
        <f>O94*H94</f>
        <v>0.316</v>
      </c>
      <c r="Q94" s="145">
        <v>1.8929999999999999E-2</v>
      </c>
      <c r="R94" s="145">
        <f>Q94*H94</f>
        <v>1.8929999999999999E-2</v>
      </c>
      <c r="S94" s="145">
        <v>0</v>
      </c>
      <c r="T94" s="146">
        <f>S94*H94</f>
        <v>0</v>
      </c>
      <c r="U94" s="31"/>
      <c r="V94" s="31"/>
      <c r="W94" s="31"/>
      <c r="X94" s="31"/>
      <c r="Y94" s="31"/>
      <c r="Z94" s="31"/>
      <c r="AA94" s="31"/>
      <c r="AB94" s="31"/>
      <c r="AC94" s="31"/>
      <c r="AD94" s="31"/>
      <c r="AE94" s="31"/>
      <c r="AR94" s="147" t="s">
        <v>144</v>
      </c>
      <c r="AT94" s="147" t="s">
        <v>141</v>
      </c>
      <c r="AU94" s="147" t="s">
        <v>82</v>
      </c>
      <c r="AY94" s="19" t="s">
        <v>138</v>
      </c>
      <c r="BE94" s="148">
        <f>IF(N94="základní",J94,0)</f>
        <v>0</v>
      </c>
      <c r="BF94" s="148">
        <f>IF(N94="snížená",J94,0)</f>
        <v>0</v>
      </c>
      <c r="BG94" s="148">
        <f>IF(N94="zákl. přenesená",J94,0)</f>
        <v>0</v>
      </c>
      <c r="BH94" s="148">
        <f>IF(N94="sníž. přenesená",J94,0)</f>
        <v>0</v>
      </c>
      <c r="BI94" s="148">
        <f>IF(N94="nulová",J94,0)</f>
        <v>0</v>
      </c>
      <c r="BJ94" s="19" t="s">
        <v>80</v>
      </c>
      <c r="BK94" s="148">
        <f>ROUND(I94*H94,2)</f>
        <v>0</v>
      </c>
      <c r="BL94" s="19" t="s">
        <v>144</v>
      </c>
      <c r="BM94" s="147" t="s">
        <v>835</v>
      </c>
    </row>
    <row r="95" spans="1:65" s="13" customFormat="1">
      <c r="B95" s="149"/>
      <c r="D95" s="150" t="s">
        <v>145</v>
      </c>
      <c r="E95" s="151" t="s">
        <v>3</v>
      </c>
      <c r="F95" s="152" t="s">
        <v>198</v>
      </c>
      <c r="H95" s="151" t="s">
        <v>3</v>
      </c>
      <c r="L95" s="149"/>
      <c r="M95" s="153"/>
      <c r="N95" s="154"/>
      <c r="O95" s="154"/>
      <c r="P95" s="154"/>
      <c r="Q95" s="154"/>
      <c r="R95" s="154"/>
      <c r="S95" s="154"/>
      <c r="T95" s="155"/>
      <c r="AT95" s="151" t="s">
        <v>145</v>
      </c>
      <c r="AU95" s="151" t="s">
        <v>82</v>
      </c>
      <c r="AV95" s="13" t="s">
        <v>80</v>
      </c>
      <c r="AW95" s="13" t="s">
        <v>34</v>
      </c>
      <c r="AX95" s="13" t="s">
        <v>72</v>
      </c>
      <c r="AY95" s="151" t="s">
        <v>138</v>
      </c>
    </row>
    <row r="96" spans="1:65" s="14" customFormat="1">
      <c r="B96" s="156"/>
      <c r="D96" s="150" t="s">
        <v>145</v>
      </c>
      <c r="E96" s="157" t="s">
        <v>3</v>
      </c>
      <c r="F96" s="158">
        <f>F103</f>
        <v>1</v>
      </c>
      <c r="H96" s="159">
        <f>F96</f>
        <v>1</v>
      </c>
      <c r="L96" s="156"/>
      <c r="M96" s="160"/>
      <c r="N96" s="161"/>
      <c r="O96" s="161"/>
      <c r="P96" s="161"/>
      <c r="Q96" s="161"/>
      <c r="R96" s="161"/>
      <c r="S96" s="161"/>
      <c r="T96" s="162"/>
      <c r="AT96" s="157" t="s">
        <v>145</v>
      </c>
      <c r="AU96" s="157" t="s">
        <v>82</v>
      </c>
      <c r="AV96" s="14" t="s">
        <v>82</v>
      </c>
      <c r="AW96" s="14" t="s">
        <v>34</v>
      </c>
      <c r="AX96" s="14" t="s">
        <v>80</v>
      </c>
      <c r="AY96" s="157" t="s">
        <v>138</v>
      </c>
    </row>
    <row r="97" spans="1:65" s="12" customFormat="1" ht="22.9" customHeight="1">
      <c r="B97" s="124"/>
      <c r="D97" s="125" t="s">
        <v>71</v>
      </c>
      <c r="E97" s="134" t="s">
        <v>178</v>
      </c>
      <c r="F97" s="134" t="s">
        <v>247</v>
      </c>
      <c r="J97" s="135">
        <f>BK97</f>
        <v>0</v>
      </c>
      <c r="L97" s="124"/>
      <c r="M97" s="128"/>
      <c r="N97" s="129"/>
      <c r="O97" s="129"/>
      <c r="P97" s="130">
        <f>SUM(P98:P103)</f>
        <v>1.4140000000000001</v>
      </c>
      <c r="Q97" s="129"/>
      <c r="R97" s="130">
        <f>SUM(R98:R103)</f>
        <v>0</v>
      </c>
      <c r="S97" s="129"/>
      <c r="T97" s="131">
        <f>SUM(T98:T103)</f>
        <v>3.2000000000000001E-2</v>
      </c>
      <c r="AR97" s="125" t="s">
        <v>80</v>
      </c>
      <c r="AT97" s="132" t="s">
        <v>71</v>
      </c>
      <c r="AU97" s="132" t="s">
        <v>80</v>
      </c>
      <c r="AY97" s="125" t="s">
        <v>138</v>
      </c>
      <c r="BK97" s="133">
        <f>SUM(BK98:BK103)</f>
        <v>0</v>
      </c>
    </row>
    <row r="98" spans="1:65" s="2" customFormat="1" ht="49.15" customHeight="1">
      <c r="A98" s="31"/>
      <c r="B98" s="136"/>
      <c r="C98" s="137" t="s">
        <v>139</v>
      </c>
      <c r="D98" s="137" t="s">
        <v>141</v>
      </c>
      <c r="E98" s="138" t="s">
        <v>556</v>
      </c>
      <c r="F98" s="139" t="s">
        <v>557</v>
      </c>
      <c r="G98" s="140" t="s">
        <v>147</v>
      </c>
      <c r="H98" s="141">
        <f>H100</f>
        <v>5</v>
      </c>
      <c r="I98" s="142"/>
      <c r="J98" s="142">
        <f>ROUND(I98*H98,2)</f>
        <v>0</v>
      </c>
      <c r="K98" s="139" t="s">
        <v>148</v>
      </c>
      <c r="L98" s="32"/>
      <c r="M98" s="143" t="s">
        <v>3</v>
      </c>
      <c r="N98" s="144" t="s">
        <v>43</v>
      </c>
      <c r="O98" s="145">
        <v>0.16</v>
      </c>
      <c r="P98" s="145">
        <f>O98*H98</f>
        <v>0.8</v>
      </c>
      <c r="Q98" s="145">
        <v>0</v>
      </c>
      <c r="R98" s="145">
        <f>Q98*H98</f>
        <v>0</v>
      </c>
      <c r="S98" s="145">
        <v>4.0000000000000001E-3</v>
      </c>
      <c r="T98" s="146">
        <f>S98*H98</f>
        <v>0.02</v>
      </c>
      <c r="U98" s="31"/>
      <c r="V98" s="31"/>
      <c r="W98" s="31"/>
      <c r="X98" s="31"/>
      <c r="Y98" s="31"/>
      <c r="Z98" s="31"/>
      <c r="AA98" s="31"/>
      <c r="AB98" s="31"/>
      <c r="AC98" s="31"/>
      <c r="AD98" s="31"/>
      <c r="AE98" s="31"/>
      <c r="AR98" s="147" t="s">
        <v>144</v>
      </c>
      <c r="AT98" s="147" t="s">
        <v>141</v>
      </c>
      <c r="AU98" s="147" t="s">
        <v>82</v>
      </c>
      <c r="AY98" s="19" t="s">
        <v>138</v>
      </c>
      <c r="BE98" s="148">
        <f>IF(N98="základní",J98,0)</f>
        <v>0</v>
      </c>
      <c r="BF98" s="148">
        <f>IF(N98="snížená",J98,0)</f>
        <v>0</v>
      </c>
      <c r="BG98" s="148">
        <f>IF(N98="zákl. přenesená",J98,0)</f>
        <v>0</v>
      </c>
      <c r="BH98" s="148">
        <f>IF(N98="sníž. přenesená",J98,0)</f>
        <v>0</v>
      </c>
      <c r="BI98" s="148">
        <f>IF(N98="nulová",J98,0)</f>
        <v>0</v>
      </c>
      <c r="BJ98" s="19" t="s">
        <v>80</v>
      </c>
      <c r="BK98" s="148">
        <f>ROUND(I98*H98,2)</f>
        <v>0</v>
      </c>
      <c r="BL98" s="19" t="s">
        <v>144</v>
      </c>
      <c r="BM98" s="147" t="s">
        <v>1009</v>
      </c>
    </row>
    <row r="99" spans="1:65" s="13" customFormat="1">
      <c r="B99" s="149"/>
      <c r="D99" s="150" t="s">
        <v>145</v>
      </c>
      <c r="E99" s="151" t="s">
        <v>3</v>
      </c>
      <c r="F99" s="152" t="s">
        <v>1010</v>
      </c>
      <c r="H99" s="151" t="s">
        <v>3</v>
      </c>
      <c r="L99" s="149"/>
      <c r="M99" s="153"/>
      <c r="N99" s="154"/>
      <c r="O99" s="154"/>
      <c r="P99" s="154"/>
      <c r="Q99" s="154"/>
      <c r="R99" s="154"/>
      <c r="S99" s="154"/>
      <c r="T99" s="155"/>
      <c r="AT99" s="151" t="s">
        <v>145</v>
      </c>
      <c r="AU99" s="151" t="s">
        <v>82</v>
      </c>
      <c r="AV99" s="13" t="s">
        <v>80</v>
      </c>
      <c r="AW99" s="13" t="s">
        <v>34</v>
      </c>
      <c r="AX99" s="13" t="s">
        <v>72</v>
      </c>
      <c r="AY99" s="151" t="s">
        <v>138</v>
      </c>
    </row>
    <row r="100" spans="1:65" s="14" customFormat="1">
      <c r="B100" s="156"/>
      <c r="D100" s="150" t="s">
        <v>145</v>
      </c>
      <c r="E100" s="157" t="s">
        <v>3</v>
      </c>
      <c r="F100" s="158" t="s">
        <v>1288</v>
      </c>
      <c r="H100" s="159">
        <v>5</v>
      </c>
      <c r="L100" s="156"/>
      <c r="M100" s="160"/>
      <c r="N100" s="161"/>
      <c r="O100" s="161"/>
      <c r="P100" s="161"/>
      <c r="Q100" s="161"/>
      <c r="R100" s="161"/>
      <c r="S100" s="161"/>
      <c r="T100" s="162"/>
      <c r="AT100" s="157" t="s">
        <v>145</v>
      </c>
      <c r="AU100" s="157" t="s">
        <v>82</v>
      </c>
      <c r="AV100" s="14" t="s">
        <v>82</v>
      </c>
      <c r="AW100" s="14" t="s">
        <v>34</v>
      </c>
      <c r="AX100" s="14" t="s">
        <v>80</v>
      </c>
      <c r="AY100" s="157" t="s">
        <v>138</v>
      </c>
    </row>
    <row r="101" spans="1:65" s="2" customFormat="1" ht="49.15" customHeight="1">
      <c r="A101" s="31"/>
      <c r="B101" s="136"/>
      <c r="C101" s="137" t="s">
        <v>144</v>
      </c>
      <c r="D101" s="137" t="s">
        <v>141</v>
      </c>
      <c r="E101" s="138" t="s">
        <v>559</v>
      </c>
      <c r="F101" s="139" t="s">
        <v>560</v>
      </c>
      <c r="G101" s="140" t="s">
        <v>147</v>
      </c>
      <c r="H101" s="141">
        <f>H103</f>
        <v>1</v>
      </c>
      <c r="I101" s="142"/>
      <c r="J101" s="142">
        <f>ROUND(I101*H101,2)</f>
        <v>0</v>
      </c>
      <c r="K101" s="139" t="s">
        <v>148</v>
      </c>
      <c r="L101" s="32"/>
      <c r="M101" s="143" t="s">
        <v>3</v>
      </c>
      <c r="N101" s="144" t="s">
        <v>43</v>
      </c>
      <c r="O101" s="145">
        <v>0.61399999999999999</v>
      </c>
      <c r="P101" s="145">
        <f>O101*H101</f>
        <v>0.61399999999999999</v>
      </c>
      <c r="Q101" s="145">
        <v>0</v>
      </c>
      <c r="R101" s="145">
        <f>Q101*H101</f>
        <v>0</v>
      </c>
      <c r="S101" s="145">
        <v>1.2E-2</v>
      </c>
      <c r="T101" s="146">
        <f>S101*H101</f>
        <v>1.2E-2</v>
      </c>
      <c r="U101" s="31"/>
      <c r="V101" s="31"/>
      <c r="W101" s="31"/>
      <c r="X101" s="31"/>
      <c r="Y101" s="31"/>
      <c r="Z101" s="31"/>
      <c r="AA101" s="31"/>
      <c r="AB101" s="31"/>
      <c r="AC101" s="31"/>
      <c r="AD101" s="31"/>
      <c r="AE101" s="31"/>
      <c r="AR101" s="147" t="s">
        <v>144</v>
      </c>
      <c r="AT101" s="147" t="s">
        <v>141</v>
      </c>
      <c r="AU101" s="147" t="s">
        <v>82</v>
      </c>
      <c r="AY101" s="19" t="s">
        <v>138</v>
      </c>
      <c r="BE101" s="148">
        <f>IF(N101="základní",J101,0)</f>
        <v>0</v>
      </c>
      <c r="BF101" s="148">
        <f>IF(N101="snížená",J101,0)</f>
        <v>0</v>
      </c>
      <c r="BG101" s="148">
        <f>IF(N101="zákl. přenesená",J101,0)</f>
        <v>0</v>
      </c>
      <c r="BH101" s="148">
        <f>IF(N101="sníž. přenesená",J101,0)</f>
        <v>0</v>
      </c>
      <c r="BI101" s="148">
        <f>IF(N101="nulová",J101,0)</f>
        <v>0</v>
      </c>
      <c r="BJ101" s="19" t="s">
        <v>80</v>
      </c>
      <c r="BK101" s="148">
        <f>ROUND(I101*H101,2)</f>
        <v>0</v>
      </c>
      <c r="BL101" s="19" t="s">
        <v>144</v>
      </c>
      <c r="BM101" s="147" t="s">
        <v>841</v>
      </c>
    </row>
    <row r="102" spans="1:65" s="13" customFormat="1">
      <c r="B102" s="149"/>
      <c r="D102" s="150" t="s">
        <v>145</v>
      </c>
      <c r="E102" s="151" t="s">
        <v>3</v>
      </c>
      <c r="F102" s="152" t="s">
        <v>1010</v>
      </c>
      <c r="H102" s="151" t="s">
        <v>3</v>
      </c>
      <c r="L102" s="149"/>
      <c r="M102" s="153"/>
      <c r="N102" s="154"/>
      <c r="O102" s="154"/>
      <c r="P102" s="154"/>
      <c r="Q102" s="154"/>
      <c r="R102" s="154"/>
      <c r="S102" s="154"/>
      <c r="T102" s="155"/>
      <c r="AT102" s="151" t="s">
        <v>145</v>
      </c>
      <c r="AU102" s="151" t="s">
        <v>82</v>
      </c>
      <c r="AV102" s="13" t="s">
        <v>80</v>
      </c>
      <c r="AW102" s="13" t="s">
        <v>34</v>
      </c>
      <c r="AX102" s="13" t="s">
        <v>72</v>
      </c>
      <c r="AY102" s="151" t="s">
        <v>138</v>
      </c>
    </row>
    <row r="103" spans="1:65" s="14" customFormat="1">
      <c r="B103" s="156"/>
      <c r="D103" s="150" t="s">
        <v>145</v>
      </c>
      <c r="E103" s="157" t="s">
        <v>3</v>
      </c>
      <c r="F103" s="158">
        <v>1</v>
      </c>
      <c r="H103" s="159">
        <v>1</v>
      </c>
      <c r="L103" s="156"/>
      <c r="M103" s="160"/>
      <c r="N103" s="161"/>
      <c r="O103" s="161"/>
      <c r="P103" s="161"/>
      <c r="Q103" s="161"/>
      <c r="R103" s="161"/>
      <c r="S103" s="161"/>
      <c r="T103" s="162"/>
      <c r="AT103" s="157" t="s">
        <v>145</v>
      </c>
      <c r="AU103" s="157" t="s">
        <v>82</v>
      </c>
      <c r="AV103" s="14" t="s">
        <v>82</v>
      </c>
      <c r="AW103" s="14" t="s">
        <v>34</v>
      </c>
      <c r="AX103" s="14" t="s">
        <v>80</v>
      </c>
      <c r="AY103" s="157" t="s">
        <v>138</v>
      </c>
    </row>
    <row r="104" spans="1:65" s="12" customFormat="1" ht="22.9" customHeight="1">
      <c r="B104" s="124"/>
      <c r="D104" s="125" t="s">
        <v>71</v>
      </c>
      <c r="E104" s="134" t="s">
        <v>265</v>
      </c>
      <c r="F104" s="134" t="s">
        <v>266</v>
      </c>
      <c r="J104" s="135">
        <f>BK104</f>
        <v>0</v>
      </c>
      <c r="L104" s="124"/>
      <c r="M104" s="128"/>
      <c r="N104" s="129"/>
      <c r="O104" s="129"/>
      <c r="P104" s="130">
        <f>SUM(P105:P116)</f>
        <v>0.16200326249999997</v>
      </c>
      <c r="Q104" s="129"/>
      <c r="R104" s="130">
        <f>SUM(R105:R116)</f>
        <v>0</v>
      </c>
      <c r="S104" s="129"/>
      <c r="T104" s="131">
        <f>SUM(T105:T116)</f>
        <v>0</v>
      </c>
      <c r="AR104" s="125" t="s">
        <v>80</v>
      </c>
      <c r="AT104" s="132" t="s">
        <v>71</v>
      </c>
      <c r="AU104" s="132" t="s">
        <v>80</v>
      </c>
      <c r="AY104" s="125" t="s">
        <v>138</v>
      </c>
      <c r="BK104" s="133">
        <f>SUM(BK105:BK116)</f>
        <v>0</v>
      </c>
    </row>
    <row r="105" spans="1:65" s="2" customFormat="1" ht="37.9" customHeight="1">
      <c r="A105" s="31"/>
      <c r="B105" s="136"/>
      <c r="C105" s="137" t="s">
        <v>163</v>
      </c>
      <c r="D105" s="137" t="s">
        <v>141</v>
      </c>
      <c r="E105" s="138" t="s">
        <v>267</v>
      </c>
      <c r="F105" s="139" t="s">
        <v>268</v>
      </c>
      <c r="G105" s="140" t="s">
        <v>160</v>
      </c>
      <c r="H105" s="141">
        <f>(5*0.1*0.15*0.15+1*0.45*0.15*0.15)*1.9</f>
        <v>4.0612499999999996E-2</v>
      </c>
      <c r="I105" s="142"/>
      <c r="J105" s="142">
        <f>ROUND(I105*H105,2)</f>
        <v>0</v>
      </c>
      <c r="K105" s="139" t="s">
        <v>148</v>
      </c>
      <c r="L105" s="32"/>
      <c r="M105" s="143" t="s">
        <v>3</v>
      </c>
      <c r="N105" s="144" t="s">
        <v>43</v>
      </c>
      <c r="O105" s="145">
        <v>2.42</v>
      </c>
      <c r="P105" s="145">
        <f>O105*H105</f>
        <v>9.8282249999999988E-2</v>
      </c>
      <c r="Q105" s="145">
        <v>0</v>
      </c>
      <c r="R105" s="145">
        <f>Q105*H105</f>
        <v>0</v>
      </c>
      <c r="S105" s="145">
        <v>0</v>
      </c>
      <c r="T105" s="146">
        <f>S105*H105</f>
        <v>0</v>
      </c>
      <c r="U105" s="31"/>
      <c r="V105" s="31"/>
      <c r="W105" s="31"/>
      <c r="X105" s="31"/>
      <c r="Y105" s="31"/>
      <c r="Z105" s="31"/>
      <c r="AA105" s="31"/>
      <c r="AB105" s="31"/>
      <c r="AC105" s="31"/>
      <c r="AD105" s="31"/>
      <c r="AE105" s="31"/>
      <c r="AR105" s="147" t="s">
        <v>144</v>
      </c>
      <c r="AT105" s="147" t="s">
        <v>141</v>
      </c>
      <c r="AU105" s="147" t="s">
        <v>82</v>
      </c>
      <c r="AY105" s="19" t="s">
        <v>138</v>
      </c>
      <c r="BE105" s="148">
        <f>IF(N105="základní",J105,0)</f>
        <v>0</v>
      </c>
      <c r="BF105" s="148">
        <f>IF(N105="snížená",J105,0)</f>
        <v>0</v>
      </c>
      <c r="BG105" s="148">
        <f>IF(N105="zákl. přenesená",J105,0)</f>
        <v>0</v>
      </c>
      <c r="BH105" s="148">
        <f>IF(N105="sníž. přenesená",J105,0)</f>
        <v>0</v>
      </c>
      <c r="BI105" s="148">
        <f>IF(N105="nulová",J105,0)</f>
        <v>0</v>
      </c>
      <c r="BJ105" s="19" t="s">
        <v>80</v>
      </c>
      <c r="BK105" s="148">
        <f>ROUND(I105*H105,2)</f>
        <v>0</v>
      </c>
      <c r="BL105" s="19" t="s">
        <v>144</v>
      </c>
      <c r="BM105" s="147" t="s">
        <v>845</v>
      </c>
    </row>
    <row r="106" spans="1:65" s="2" customFormat="1" ht="146.25">
      <c r="A106" s="31"/>
      <c r="B106" s="32"/>
      <c r="C106" s="31"/>
      <c r="D106" s="150" t="s">
        <v>149</v>
      </c>
      <c r="E106" s="31"/>
      <c r="F106" s="163" t="s">
        <v>270</v>
      </c>
      <c r="G106" s="31"/>
      <c r="H106" s="31"/>
      <c r="I106" s="31"/>
      <c r="J106" s="31"/>
      <c r="K106" s="31"/>
      <c r="L106" s="32"/>
      <c r="M106" s="164"/>
      <c r="N106" s="165"/>
      <c r="O106" s="52"/>
      <c r="P106" s="52"/>
      <c r="Q106" s="52"/>
      <c r="R106" s="52"/>
      <c r="S106" s="52"/>
      <c r="T106" s="53"/>
      <c r="U106" s="31"/>
      <c r="V106" s="31"/>
      <c r="W106" s="31"/>
      <c r="X106" s="31"/>
      <c r="Y106" s="31"/>
      <c r="Z106" s="31"/>
      <c r="AA106" s="31"/>
      <c r="AB106" s="31"/>
      <c r="AC106" s="31"/>
      <c r="AD106" s="31"/>
      <c r="AE106" s="31"/>
      <c r="AT106" s="19" t="s">
        <v>149</v>
      </c>
      <c r="AU106" s="19" t="s">
        <v>82</v>
      </c>
    </row>
    <row r="107" spans="1:65" s="2" customFormat="1" ht="62.65" customHeight="1">
      <c r="A107" s="31"/>
      <c r="B107" s="136"/>
      <c r="C107" s="137" t="s">
        <v>169</v>
      </c>
      <c r="D107" s="137" t="s">
        <v>141</v>
      </c>
      <c r="E107" s="138" t="s">
        <v>271</v>
      </c>
      <c r="F107" s="139" t="s">
        <v>272</v>
      </c>
      <c r="G107" s="140" t="s">
        <v>160</v>
      </c>
      <c r="H107" s="141">
        <f>H109</f>
        <v>0.20306249999999998</v>
      </c>
      <c r="I107" s="142"/>
      <c r="J107" s="142">
        <f>ROUND(I107*H107,2)</f>
        <v>0</v>
      </c>
      <c r="K107" s="139" t="s">
        <v>148</v>
      </c>
      <c r="L107" s="32"/>
      <c r="M107" s="143" t="s">
        <v>3</v>
      </c>
      <c r="N107" s="144" t="s">
        <v>43</v>
      </c>
      <c r="O107" s="145">
        <v>0.26</v>
      </c>
      <c r="P107" s="145">
        <f>O107*H107</f>
        <v>5.2796249999999996E-2</v>
      </c>
      <c r="Q107" s="145">
        <v>0</v>
      </c>
      <c r="R107" s="145">
        <f>Q107*H107</f>
        <v>0</v>
      </c>
      <c r="S107" s="145">
        <v>0</v>
      </c>
      <c r="T107" s="146">
        <f>S107*H107</f>
        <v>0</v>
      </c>
      <c r="U107" s="31"/>
      <c r="V107" s="31"/>
      <c r="W107" s="31"/>
      <c r="X107" s="31"/>
      <c r="Y107" s="31"/>
      <c r="Z107" s="31"/>
      <c r="AA107" s="31"/>
      <c r="AB107" s="31"/>
      <c r="AC107" s="31"/>
      <c r="AD107" s="31"/>
      <c r="AE107" s="31"/>
      <c r="AR107" s="147" t="s">
        <v>144</v>
      </c>
      <c r="AT107" s="147" t="s">
        <v>141</v>
      </c>
      <c r="AU107" s="147" t="s">
        <v>82</v>
      </c>
      <c r="AY107" s="19" t="s">
        <v>138</v>
      </c>
      <c r="BE107" s="148">
        <f>IF(N107="základní",J107,0)</f>
        <v>0</v>
      </c>
      <c r="BF107" s="148">
        <f>IF(N107="snížená",J107,0)</f>
        <v>0</v>
      </c>
      <c r="BG107" s="148">
        <f>IF(N107="zákl. přenesená",J107,0)</f>
        <v>0</v>
      </c>
      <c r="BH107" s="148">
        <f>IF(N107="sníž. přenesená",J107,0)</f>
        <v>0</v>
      </c>
      <c r="BI107" s="148">
        <f>IF(N107="nulová",J107,0)</f>
        <v>0</v>
      </c>
      <c r="BJ107" s="19" t="s">
        <v>80</v>
      </c>
      <c r="BK107" s="148">
        <f>ROUND(I107*H107,2)</f>
        <v>0</v>
      </c>
      <c r="BL107" s="19" t="s">
        <v>144</v>
      </c>
      <c r="BM107" s="147" t="s">
        <v>846</v>
      </c>
    </row>
    <row r="108" spans="1:65" s="2" customFormat="1" ht="146.25">
      <c r="A108" s="31"/>
      <c r="B108" s="32"/>
      <c r="C108" s="31"/>
      <c r="D108" s="150" t="s">
        <v>149</v>
      </c>
      <c r="E108" s="31"/>
      <c r="F108" s="163" t="s">
        <v>270</v>
      </c>
      <c r="G108" s="31"/>
      <c r="H108" s="31"/>
      <c r="I108" s="31"/>
      <c r="J108" s="31"/>
      <c r="K108" s="31"/>
      <c r="L108" s="32"/>
      <c r="M108" s="164"/>
      <c r="N108" s="165"/>
      <c r="O108" s="52"/>
      <c r="P108" s="52"/>
      <c r="Q108" s="52"/>
      <c r="R108" s="52"/>
      <c r="S108" s="52"/>
      <c r="T108" s="53"/>
      <c r="U108" s="31"/>
      <c r="V108" s="31"/>
      <c r="W108" s="31"/>
      <c r="X108" s="31"/>
      <c r="Y108" s="31"/>
      <c r="Z108" s="31"/>
      <c r="AA108" s="31"/>
      <c r="AB108" s="31"/>
      <c r="AC108" s="31"/>
      <c r="AD108" s="31"/>
      <c r="AE108" s="31"/>
      <c r="AT108" s="19" t="s">
        <v>149</v>
      </c>
      <c r="AU108" s="19" t="s">
        <v>82</v>
      </c>
    </row>
    <row r="109" spans="1:65" s="14" customFormat="1">
      <c r="B109" s="156"/>
      <c r="D109" s="150" t="s">
        <v>145</v>
      </c>
      <c r="F109" s="158" t="s">
        <v>1298</v>
      </c>
      <c r="H109" s="159">
        <f>H105*5</f>
        <v>0.20306249999999998</v>
      </c>
      <c r="L109" s="156"/>
      <c r="M109" s="160"/>
      <c r="N109" s="161"/>
      <c r="O109" s="161"/>
      <c r="P109" s="161"/>
      <c r="Q109" s="161"/>
      <c r="R109" s="161"/>
      <c r="S109" s="161"/>
      <c r="T109" s="162"/>
      <c r="AT109" s="157" t="s">
        <v>145</v>
      </c>
      <c r="AU109" s="157" t="s">
        <v>82</v>
      </c>
      <c r="AV109" s="14" t="s">
        <v>82</v>
      </c>
      <c r="AW109" s="14" t="s">
        <v>4</v>
      </c>
      <c r="AX109" s="14" t="s">
        <v>80</v>
      </c>
      <c r="AY109" s="157" t="s">
        <v>138</v>
      </c>
    </row>
    <row r="110" spans="1:65" s="2" customFormat="1" ht="24.2" customHeight="1">
      <c r="A110" s="31"/>
      <c r="B110" s="136"/>
      <c r="C110" s="137" t="s">
        <v>170</v>
      </c>
      <c r="D110" s="137" t="s">
        <v>141</v>
      </c>
      <c r="E110" s="138" t="s">
        <v>274</v>
      </c>
      <c r="F110" s="139" t="s">
        <v>275</v>
      </c>
      <c r="G110" s="140" t="s">
        <v>160</v>
      </c>
      <c r="H110" s="141">
        <f>H105</f>
        <v>4.0612499999999996E-2</v>
      </c>
      <c r="I110" s="142"/>
      <c r="J110" s="142">
        <f>ROUND(I110*H110,2)</f>
        <v>0</v>
      </c>
      <c r="K110" s="139" t="s">
        <v>148</v>
      </c>
      <c r="L110" s="32"/>
      <c r="M110" s="143" t="s">
        <v>3</v>
      </c>
      <c r="N110" s="144" t="s">
        <v>43</v>
      </c>
      <c r="O110" s="145">
        <v>0.125</v>
      </c>
      <c r="P110" s="145">
        <f>O110*H110</f>
        <v>5.0765624999999995E-3</v>
      </c>
      <c r="Q110" s="145">
        <v>0</v>
      </c>
      <c r="R110" s="145">
        <f>Q110*H110</f>
        <v>0</v>
      </c>
      <c r="S110" s="145">
        <v>0</v>
      </c>
      <c r="T110" s="146">
        <f>S110*H110</f>
        <v>0</v>
      </c>
      <c r="U110" s="31"/>
      <c r="V110" s="31"/>
      <c r="W110" s="31"/>
      <c r="X110" s="31"/>
      <c r="Y110" s="31"/>
      <c r="Z110" s="31"/>
      <c r="AA110" s="31"/>
      <c r="AB110" s="31"/>
      <c r="AC110" s="31"/>
      <c r="AD110" s="31"/>
      <c r="AE110" s="31"/>
      <c r="AR110" s="147" t="s">
        <v>144</v>
      </c>
      <c r="AT110" s="147" t="s">
        <v>141</v>
      </c>
      <c r="AU110" s="147" t="s">
        <v>82</v>
      </c>
      <c r="AY110" s="19" t="s">
        <v>138</v>
      </c>
      <c r="BE110" s="148">
        <f>IF(N110="základní",J110,0)</f>
        <v>0</v>
      </c>
      <c r="BF110" s="148">
        <f>IF(N110="snížená",J110,0)</f>
        <v>0</v>
      </c>
      <c r="BG110" s="148">
        <f>IF(N110="zákl. přenesená",J110,0)</f>
        <v>0</v>
      </c>
      <c r="BH110" s="148">
        <f>IF(N110="sníž. přenesená",J110,0)</f>
        <v>0</v>
      </c>
      <c r="BI110" s="148">
        <f>IF(N110="nulová",J110,0)</f>
        <v>0</v>
      </c>
      <c r="BJ110" s="19" t="s">
        <v>80</v>
      </c>
      <c r="BK110" s="148">
        <f>ROUND(I110*H110,2)</f>
        <v>0</v>
      </c>
      <c r="BL110" s="19" t="s">
        <v>144</v>
      </c>
      <c r="BM110" s="147" t="s">
        <v>847</v>
      </c>
    </row>
    <row r="111" spans="1:65" s="2" customFormat="1" ht="97.5">
      <c r="A111" s="31"/>
      <c r="B111" s="32"/>
      <c r="C111" s="31"/>
      <c r="D111" s="150" t="s">
        <v>149</v>
      </c>
      <c r="E111" s="31"/>
      <c r="F111" s="163" t="s">
        <v>277</v>
      </c>
      <c r="G111" s="31"/>
      <c r="H111" s="31"/>
      <c r="I111" s="31"/>
      <c r="J111" s="31"/>
      <c r="K111" s="31"/>
      <c r="L111" s="32"/>
      <c r="M111" s="164"/>
      <c r="N111" s="165"/>
      <c r="O111" s="52"/>
      <c r="P111" s="52"/>
      <c r="Q111" s="52"/>
      <c r="R111" s="52"/>
      <c r="S111" s="52"/>
      <c r="T111" s="53"/>
      <c r="U111" s="31"/>
      <c r="V111" s="31"/>
      <c r="W111" s="31"/>
      <c r="X111" s="31"/>
      <c r="Y111" s="31"/>
      <c r="Z111" s="31"/>
      <c r="AA111" s="31"/>
      <c r="AB111" s="31"/>
      <c r="AC111" s="31"/>
      <c r="AD111" s="31"/>
      <c r="AE111" s="31"/>
      <c r="AT111" s="19" t="s">
        <v>149</v>
      </c>
      <c r="AU111" s="19" t="s">
        <v>82</v>
      </c>
    </row>
    <row r="112" spans="1:65" s="2" customFormat="1" ht="37.9" customHeight="1">
      <c r="A112" s="31"/>
      <c r="B112" s="136"/>
      <c r="C112" s="137" t="s">
        <v>167</v>
      </c>
      <c r="D112" s="137" t="s">
        <v>141</v>
      </c>
      <c r="E112" s="138" t="s">
        <v>278</v>
      </c>
      <c r="F112" s="139" t="s">
        <v>279</v>
      </c>
      <c r="G112" s="140" t="s">
        <v>160</v>
      </c>
      <c r="H112" s="141">
        <f>H114</f>
        <v>0.9746999999999999</v>
      </c>
      <c r="I112" s="142"/>
      <c r="J112" s="142">
        <f>ROUND(I112*H112,2)</f>
        <v>0</v>
      </c>
      <c r="K112" s="139" t="s">
        <v>148</v>
      </c>
      <c r="L112" s="32"/>
      <c r="M112" s="143" t="s">
        <v>3</v>
      </c>
      <c r="N112" s="144" t="s">
        <v>43</v>
      </c>
      <c r="O112" s="145">
        <v>6.0000000000000001E-3</v>
      </c>
      <c r="P112" s="145">
        <f>O112*H112</f>
        <v>5.8481999999999996E-3</v>
      </c>
      <c r="Q112" s="145">
        <v>0</v>
      </c>
      <c r="R112" s="145">
        <f>Q112*H112</f>
        <v>0</v>
      </c>
      <c r="S112" s="145">
        <v>0</v>
      </c>
      <c r="T112" s="146">
        <f>S112*H112</f>
        <v>0</v>
      </c>
      <c r="U112" s="31"/>
      <c r="V112" s="31"/>
      <c r="W112" s="31"/>
      <c r="X112" s="31"/>
      <c r="Y112" s="31"/>
      <c r="Z112" s="31"/>
      <c r="AA112" s="31"/>
      <c r="AB112" s="31"/>
      <c r="AC112" s="31"/>
      <c r="AD112" s="31"/>
      <c r="AE112" s="31"/>
      <c r="AR112" s="147" t="s">
        <v>144</v>
      </c>
      <c r="AT112" s="147" t="s">
        <v>141</v>
      </c>
      <c r="AU112" s="147" t="s">
        <v>82</v>
      </c>
      <c r="AY112" s="19" t="s">
        <v>138</v>
      </c>
      <c r="BE112" s="148">
        <f>IF(N112="základní",J112,0)</f>
        <v>0</v>
      </c>
      <c r="BF112" s="148">
        <f>IF(N112="snížená",J112,0)</f>
        <v>0</v>
      </c>
      <c r="BG112" s="148">
        <f>IF(N112="zákl. přenesená",J112,0)</f>
        <v>0</v>
      </c>
      <c r="BH112" s="148">
        <f>IF(N112="sníž. přenesená",J112,0)</f>
        <v>0</v>
      </c>
      <c r="BI112" s="148">
        <f>IF(N112="nulová",J112,0)</f>
        <v>0</v>
      </c>
      <c r="BJ112" s="19" t="s">
        <v>80</v>
      </c>
      <c r="BK112" s="148">
        <f>ROUND(I112*H112,2)</f>
        <v>0</v>
      </c>
      <c r="BL112" s="19" t="s">
        <v>144</v>
      </c>
      <c r="BM112" s="147" t="s">
        <v>848</v>
      </c>
    </row>
    <row r="113" spans="1:65" s="2" customFormat="1" ht="97.5">
      <c r="A113" s="31"/>
      <c r="B113" s="32"/>
      <c r="C113" s="31"/>
      <c r="D113" s="150" t="s">
        <v>149</v>
      </c>
      <c r="E113" s="31"/>
      <c r="F113" s="163" t="s">
        <v>277</v>
      </c>
      <c r="G113" s="31"/>
      <c r="H113" s="31"/>
      <c r="I113" s="31"/>
      <c r="J113" s="31"/>
      <c r="K113" s="31"/>
      <c r="L113" s="32"/>
      <c r="M113" s="164"/>
      <c r="N113" s="165"/>
      <c r="O113" s="52"/>
      <c r="P113" s="52"/>
      <c r="Q113" s="52"/>
      <c r="R113" s="52"/>
      <c r="S113" s="52"/>
      <c r="T113" s="53"/>
      <c r="U113" s="31"/>
      <c r="V113" s="31"/>
      <c r="W113" s="31"/>
      <c r="X113" s="31"/>
      <c r="Y113" s="31"/>
      <c r="Z113" s="31"/>
      <c r="AA113" s="31"/>
      <c r="AB113" s="31"/>
      <c r="AC113" s="31"/>
      <c r="AD113" s="31"/>
      <c r="AE113" s="31"/>
      <c r="AT113" s="19" t="s">
        <v>149</v>
      </c>
      <c r="AU113" s="19" t="s">
        <v>82</v>
      </c>
    </row>
    <row r="114" spans="1:65" s="14" customFormat="1">
      <c r="B114" s="156"/>
      <c r="D114" s="150" t="s">
        <v>145</v>
      </c>
      <c r="F114" s="158" t="s">
        <v>1299</v>
      </c>
      <c r="H114" s="159">
        <f>H105*24</f>
        <v>0.9746999999999999</v>
      </c>
      <c r="L114" s="156"/>
      <c r="M114" s="160"/>
      <c r="N114" s="161"/>
      <c r="O114" s="161"/>
      <c r="P114" s="161"/>
      <c r="Q114" s="161"/>
      <c r="R114" s="161"/>
      <c r="S114" s="161"/>
      <c r="T114" s="162"/>
      <c r="AT114" s="157" t="s">
        <v>145</v>
      </c>
      <c r="AU114" s="157" t="s">
        <v>82</v>
      </c>
      <c r="AV114" s="14" t="s">
        <v>82</v>
      </c>
      <c r="AW114" s="14" t="s">
        <v>4</v>
      </c>
      <c r="AX114" s="14" t="s">
        <v>80</v>
      </c>
      <c r="AY114" s="157" t="s">
        <v>138</v>
      </c>
    </row>
    <row r="115" spans="1:65" s="2" customFormat="1" ht="37.9" customHeight="1">
      <c r="A115" s="31"/>
      <c r="B115" s="136"/>
      <c r="C115" s="137" t="s">
        <v>178</v>
      </c>
      <c r="D115" s="137" t="s">
        <v>141</v>
      </c>
      <c r="E115" s="138" t="s">
        <v>281</v>
      </c>
      <c r="F115" s="139" t="s">
        <v>282</v>
      </c>
      <c r="G115" s="140" t="s">
        <v>160</v>
      </c>
      <c r="H115" s="141">
        <f>H110</f>
        <v>4.0612499999999996E-2</v>
      </c>
      <c r="I115" s="142"/>
      <c r="J115" s="142">
        <f>ROUND(I115*H115,2)</f>
        <v>0</v>
      </c>
      <c r="K115" s="139" t="s">
        <v>148</v>
      </c>
      <c r="L115" s="32"/>
      <c r="M115" s="143" t="s">
        <v>3</v>
      </c>
      <c r="N115" s="144" t="s">
        <v>43</v>
      </c>
      <c r="O115" s="145">
        <v>0</v>
      </c>
      <c r="P115" s="145">
        <f>O115*H115</f>
        <v>0</v>
      </c>
      <c r="Q115" s="145">
        <v>0</v>
      </c>
      <c r="R115" s="145">
        <f>Q115*H115</f>
        <v>0</v>
      </c>
      <c r="S115" s="145">
        <v>0</v>
      </c>
      <c r="T115" s="146">
        <f>S115*H115</f>
        <v>0</v>
      </c>
      <c r="U115" s="31"/>
      <c r="V115" s="31"/>
      <c r="W115" s="31"/>
      <c r="X115" s="31"/>
      <c r="Y115" s="31"/>
      <c r="Z115" s="31"/>
      <c r="AA115" s="31"/>
      <c r="AB115" s="31"/>
      <c r="AC115" s="31"/>
      <c r="AD115" s="31"/>
      <c r="AE115" s="31"/>
      <c r="AR115" s="147" t="s">
        <v>144</v>
      </c>
      <c r="AT115" s="147" t="s">
        <v>141</v>
      </c>
      <c r="AU115" s="147" t="s">
        <v>82</v>
      </c>
      <c r="AY115" s="19" t="s">
        <v>138</v>
      </c>
      <c r="BE115" s="148">
        <f>IF(N115="základní",J115,0)</f>
        <v>0</v>
      </c>
      <c r="BF115" s="148">
        <f>IF(N115="snížená",J115,0)</f>
        <v>0</v>
      </c>
      <c r="BG115" s="148">
        <f>IF(N115="zákl. přenesená",J115,0)</f>
        <v>0</v>
      </c>
      <c r="BH115" s="148">
        <f>IF(N115="sníž. přenesená",J115,0)</f>
        <v>0</v>
      </c>
      <c r="BI115" s="148">
        <f>IF(N115="nulová",J115,0)</f>
        <v>0</v>
      </c>
      <c r="BJ115" s="19" t="s">
        <v>80</v>
      </c>
      <c r="BK115" s="148">
        <f>ROUND(I115*H115,2)</f>
        <v>0</v>
      </c>
      <c r="BL115" s="19" t="s">
        <v>144</v>
      </c>
      <c r="BM115" s="147" t="s">
        <v>849</v>
      </c>
    </row>
    <row r="116" spans="1:65" s="2" customFormat="1" ht="97.5">
      <c r="A116" s="31"/>
      <c r="B116" s="32"/>
      <c r="C116" s="31"/>
      <c r="D116" s="150" t="s">
        <v>149</v>
      </c>
      <c r="E116" s="31"/>
      <c r="F116" s="163" t="s">
        <v>284</v>
      </c>
      <c r="G116" s="31"/>
      <c r="H116" s="31"/>
      <c r="I116" s="31"/>
      <c r="J116" s="31"/>
      <c r="K116" s="31"/>
      <c r="L116" s="32"/>
      <c r="M116" s="164"/>
      <c r="N116" s="165"/>
      <c r="O116" s="52"/>
      <c r="P116" s="52"/>
      <c r="Q116" s="52"/>
      <c r="R116" s="52"/>
      <c r="S116" s="52"/>
      <c r="T116" s="53"/>
      <c r="U116" s="31"/>
      <c r="V116" s="31"/>
      <c r="W116" s="31"/>
      <c r="X116" s="31"/>
      <c r="Y116" s="31"/>
      <c r="Z116" s="31"/>
      <c r="AA116" s="31"/>
      <c r="AB116" s="31"/>
      <c r="AC116" s="31"/>
      <c r="AD116" s="31"/>
      <c r="AE116" s="31"/>
      <c r="AT116" s="19" t="s">
        <v>149</v>
      </c>
      <c r="AU116" s="19" t="s">
        <v>82</v>
      </c>
    </row>
    <row r="117" spans="1:65" s="12" customFormat="1" ht="22.9" customHeight="1">
      <c r="B117" s="124"/>
      <c r="D117" s="125" t="s">
        <v>71</v>
      </c>
      <c r="E117" s="134" t="s">
        <v>285</v>
      </c>
      <c r="F117" s="134" t="s">
        <v>286</v>
      </c>
      <c r="J117" s="135">
        <f>BK117</f>
        <v>0</v>
      </c>
      <c r="L117" s="124"/>
      <c r="M117" s="128"/>
      <c r="N117" s="129"/>
      <c r="O117" s="129"/>
      <c r="P117" s="130">
        <f>SUM(P118:P119)</f>
        <v>0.16407449999999998</v>
      </c>
      <c r="Q117" s="129"/>
      <c r="R117" s="130">
        <f>SUM(R118:R119)</f>
        <v>0</v>
      </c>
      <c r="S117" s="129"/>
      <c r="T117" s="131">
        <f>SUM(T118:T119)</f>
        <v>0</v>
      </c>
      <c r="AR117" s="125" t="s">
        <v>80</v>
      </c>
      <c r="AT117" s="132" t="s">
        <v>71</v>
      </c>
      <c r="AU117" s="132" t="s">
        <v>80</v>
      </c>
      <c r="AY117" s="125" t="s">
        <v>138</v>
      </c>
      <c r="BK117" s="133">
        <f>SUM(BK118:BK119)</f>
        <v>0</v>
      </c>
    </row>
    <row r="118" spans="1:65" s="2" customFormat="1" ht="49.15" customHeight="1">
      <c r="A118" s="31"/>
      <c r="B118" s="136"/>
      <c r="C118" s="137" t="s">
        <v>179</v>
      </c>
      <c r="D118" s="137" t="s">
        <v>141</v>
      </c>
      <c r="E118" s="138" t="s">
        <v>287</v>
      </c>
      <c r="F118" s="139" t="s">
        <v>288</v>
      </c>
      <c r="G118" s="140" t="s">
        <v>160</v>
      </c>
      <c r="H118" s="141">
        <f>H105</f>
        <v>4.0612499999999996E-2</v>
      </c>
      <c r="I118" s="142"/>
      <c r="J118" s="142">
        <f>ROUND(I118*H118,2)</f>
        <v>0</v>
      </c>
      <c r="K118" s="139" t="s">
        <v>148</v>
      </c>
      <c r="L118" s="32"/>
      <c r="M118" s="143" t="s">
        <v>3</v>
      </c>
      <c r="N118" s="144" t="s">
        <v>43</v>
      </c>
      <c r="O118" s="145">
        <v>4.04</v>
      </c>
      <c r="P118" s="145">
        <f>O118*H118</f>
        <v>0.16407449999999998</v>
      </c>
      <c r="Q118" s="145">
        <v>0</v>
      </c>
      <c r="R118" s="145">
        <f>Q118*H118</f>
        <v>0</v>
      </c>
      <c r="S118" s="145">
        <v>0</v>
      </c>
      <c r="T118" s="146">
        <f>S118*H118</f>
        <v>0</v>
      </c>
      <c r="U118" s="31"/>
      <c r="V118" s="31"/>
      <c r="W118" s="31"/>
      <c r="X118" s="31"/>
      <c r="Y118" s="31"/>
      <c r="Z118" s="31"/>
      <c r="AA118" s="31"/>
      <c r="AB118" s="31"/>
      <c r="AC118" s="31"/>
      <c r="AD118" s="31"/>
      <c r="AE118" s="31"/>
      <c r="AR118" s="147" t="s">
        <v>144</v>
      </c>
      <c r="AT118" s="147" t="s">
        <v>141</v>
      </c>
      <c r="AU118" s="147" t="s">
        <v>82</v>
      </c>
      <c r="AY118" s="19" t="s">
        <v>138</v>
      </c>
      <c r="BE118" s="148">
        <f>IF(N118="základní",J118,0)</f>
        <v>0</v>
      </c>
      <c r="BF118" s="148">
        <f>IF(N118="snížená",J118,0)</f>
        <v>0</v>
      </c>
      <c r="BG118" s="148">
        <f>IF(N118="zákl. přenesená",J118,0)</f>
        <v>0</v>
      </c>
      <c r="BH118" s="148">
        <f>IF(N118="sníž. přenesená",J118,0)</f>
        <v>0</v>
      </c>
      <c r="BI118" s="148">
        <f>IF(N118="nulová",J118,0)</f>
        <v>0</v>
      </c>
      <c r="BJ118" s="19" t="s">
        <v>80</v>
      </c>
      <c r="BK118" s="148">
        <f>ROUND(I118*H118,2)</f>
        <v>0</v>
      </c>
      <c r="BL118" s="19" t="s">
        <v>144</v>
      </c>
      <c r="BM118" s="147" t="s">
        <v>851</v>
      </c>
    </row>
    <row r="119" spans="1:65" s="2" customFormat="1" ht="87.75">
      <c r="A119" s="31"/>
      <c r="B119" s="32"/>
      <c r="C119" s="31"/>
      <c r="D119" s="150" t="s">
        <v>149</v>
      </c>
      <c r="E119" s="31"/>
      <c r="F119" s="163" t="s">
        <v>290</v>
      </c>
      <c r="G119" s="31"/>
      <c r="H119" s="31"/>
      <c r="I119" s="31"/>
      <c r="J119" s="31"/>
      <c r="K119" s="31"/>
      <c r="L119" s="32"/>
      <c r="M119" s="164"/>
      <c r="N119" s="165"/>
      <c r="O119" s="52"/>
      <c r="P119" s="52"/>
      <c r="Q119" s="52"/>
      <c r="R119" s="52"/>
      <c r="S119" s="52"/>
      <c r="T119" s="53"/>
      <c r="U119" s="31"/>
      <c r="V119" s="31"/>
      <c r="W119" s="31"/>
      <c r="X119" s="31"/>
      <c r="Y119" s="31"/>
      <c r="Z119" s="31"/>
      <c r="AA119" s="31"/>
      <c r="AB119" s="31"/>
      <c r="AC119" s="31"/>
      <c r="AD119" s="31"/>
      <c r="AE119" s="31"/>
      <c r="AT119" s="19" t="s">
        <v>149</v>
      </c>
      <c r="AU119" s="19" t="s">
        <v>82</v>
      </c>
    </row>
    <row r="120" spans="1:65" s="12" customFormat="1" ht="25.9" customHeight="1">
      <c r="B120" s="124"/>
      <c r="D120" s="125" t="s">
        <v>71</v>
      </c>
      <c r="E120" s="126" t="s">
        <v>291</v>
      </c>
      <c r="F120" s="126" t="s">
        <v>292</v>
      </c>
      <c r="J120" s="127">
        <f>BK120</f>
        <v>0</v>
      </c>
      <c r="L120" s="124"/>
      <c r="M120" s="128"/>
      <c r="N120" s="129"/>
      <c r="O120" s="129"/>
      <c r="P120" s="130">
        <f>P121+P131</f>
        <v>16.774456000000001</v>
      </c>
      <c r="Q120" s="129"/>
      <c r="R120" s="130">
        <f>R121+R131</f>
        <v>1.59645E-2</v>
      </c>
      <c r="S120" s="129"/>
      <c r="T120" s="131">
        <f>T121+T131</f>
        <v>0</v>
      </c>
      <c r="AR120" s="125" t="s">
        <v>82</v>
      </c>
      <c r="AT120" s="132" t="s">
        <v>71</v>
      </c>
      <c r="AU120" s="132" t="s">
        <v>72</v>
      </c>
      <c r="AY120" s="125" t="s">
        <v>138</v>
      </c>
      <c r="BK120" s="133">
        <f>BK121+BK131</f>
        <v>0</v>
      </c>
    </row>
    <row r="121" spans="1:65" s="12" customFormat="1" ht="22.9" customHeight="1">
      <c r="B121" s="124"/>
      <c r="D121" s="125" t="s">
        <v>71</v>
      </c>
      <c r="E121" s="134" t="s">
        <v>1011</v>
      </c>
      <c r="F121" s="134" t="s">
        <v>1012</v>
      </c>
      <c r="J121" s="135">
        <f>BK121</f>
        <v>0</v>
      </c>
      <c r="L121" s="124"/>
      <c r="M121" s="128"/>
      <c r="N121" s="129"/>
      <c r="O121" s="129"/>
      <c r="P121" s="130">
        <f>SUM(P122:P130)</f>
        <v>0.98095600000000016</v>
      </c>
      <c r="Q121" s="129"/>
      <c r="R121" s="130">
        <f>SUM(R122:R130)</f>
        <v>1.2973499999999999E-2</v>
      </c>
      <c r="S121" s="129"/>
      <c r="T121" s="131">
        <f>SUM(T122:T130)</f>
        <v>0</v>
      </c>
      <c r="AR121" s="125" t="s">
        <v>82</v>
      </c>
      <c r="AT121" s="132" t="s">
        <v>71</v>
      </c>
      <c r="AU121" s="132" t="s">
        <v>80</v>
      </c>
      <c r="AY121" s="125" t="s">
        <v>138</v>
      </c>
      <c r="BK121" s="133">
        <f>SUM(BK122:BK130)</f>
        <v>0</v>
      </c>
    </row>
    <row r="122" spans="1:65" s="2" customFormat="1" ht="49.15" customHeight="1">
      <c r="A122" s="31"/>
      <c r="B122" s="136"/>
      <c r="C122" s="137" t="s">
        <v>183</v>
      </c>
      <c r="D122" s="137" t="s">
        <v>141</v>
      </c>
      <c r="E122" s="138" t="s">
        <v>1013</v>
      </c>
      <c r="F122" s="139" t="s">
        <v>1014</v>
      </c>
      <c r="G122" s="140" t="s">
        <v>173</v>
      </c>
      <c r="H122" s="141">
        <f>H124</f>
        <v>2.883</v>
      </c>
      <c r="I122" s="142"/>
      <c r="J122" s="142">
        <f>ROUND(I122*H122,2)</f>
        <v>0</v>
      </c>
      <c r="K122" s="139" t="s">
        <v>148</v>
      </c>
      <c r="L122" s="32"/>
      <c r="M122" s="143" t="s">
        <v>3</v>
      </c>
      <c r="N122" s="144" t="s">
        <v>43</v>
      </c>
      <c r="O122" s="145">
        <v>0.33900000000000002</v>
      </c>
      <c r="P122" s="145">
        <f>O122*H122</f>
        <v>0.97733700000000012</v>
      </c>
      <c r="Q122" s="145">
        <v>1.5100000000000001E-3</v>
      </c>
      <c r="R122" s="145">
        <f>Q122*H122</f>
        <v>4.3533299999999999E-3</v>
      </c>
      <c r="S122" s="145">
        <v>0</v>
      </c>
      <c r="T122" s="146">
        <f>S122*H122</f>
        <v>0</v>
      </c>
      <c r="U122" s="31"/>
      <c r="V122" s="31"/>
      <c r="W122" s="31"/>
      <c r="X122" s="31"/>
      <c r="Y122" s="31"/>
      <c r="Z122" s="31"/>
      <c r="AA122" s="31"/>
      <c r="AB122" s="31"/>
      <c r="AC122" s="31"/>
      <c r="AD122" s="31"/>
      <c r="AE122" s="31"/>
      <c r="AR122" s="147" t="s">
        <v>200</v>
      </c>
      <c r="AT122" s="147" t="s">
        <v>141</v>
      </c>
      <c r="AU122" s="147" t="s">
        <v>82</v>
      </c>
      <c r="AY122" s="19" t="s">
        <v>138</v>
      </c>
      <c r="BE122" s="148">
        <f>IF(N122="základní",J122,0)</f>
        <v>0</v>
      </c>
      <c r="BF122" s="148">
        <f>IF(N122="snížená",J122,0)</f>
        <v>0</v>
      </c>
      <c r="BG122" s="148">
        <f>IF(N122="zákl. přenesená",J122,0)</f>
        <v>0</v>
      </c>
      <c r="BH122" s="148">
        <f>IF(N122="sníž. přenesená",J122,0)</f>
        <v>0</v>
      </c>
      <c r="BI122" s="148">
        <f>IF(N122="nulová",J122,0)</f>
        <v>0</v>
      </c>
      <c r="BJ122" s="19" t="s">
        <v>80</v>
      </c>
      <c r="BK122" s="148">
        <f>ROUND(I122*H122,2)</f>
        <v>0</v>
      </c>
      <c r="BL122" s="19" t="s">
        <v>200</v>
      </c>
      <c r="BM122" s="147" t="s">
        <v>1015</v>
      </c>
    </row>
    <row r="123" spans="1:65" s="13" customFormat="1">
      <c r="B123" s="149"/>
      <c r="D123" s="150" t="s">
        <v>145</v>
      </c>
      <c r="E123" s="151" t="s">
        <v>3</v>
      </c>
      <c r="F123" s="152" t="s">
        <v>1010</v>
      </c>
      <c r="H123" s="151" t="s">
        <v>3</v>
      </c>
      <c r="L123" s="149"/>
      <c r="M123" s="153"/>
      <c r="N123" s="154"/>
      <c r="O123" s="154"/>
      <c r="P123" s="154"/>
      <c r="Q123" s="154"/>
      <c r="R123" s="154"/>
      <c r="S123" s="154"/>
      <c r="T123" s="155"/>
      <c r="AT123" s="151" t="s">
        <v>145</v>
      </c>
      <c r="AU123" s="151" t="s">
        <v>82</v>
      </c>
      <c r="AV123" s="13" t="s">
        <v>80</v>
      </c>
      <c r="AW123" s="13" t="s">
        <v>34</v>
      </c>
      <c r="AX123" s="13" t="s">
        <v>72</v>
      </c>
      <c r="AY123" s="151" t="s">
        <v>138</v>
      </c>
    </row>
    <row r="124" spans="1:65" s="14" customFormat="1">
      <c r="B124" s="156"/>
      <c r="D124" s="150" t="s">
        <v>145</v>
      </c>
      <c r="E124" s="157" t="s">
        <v>3</v>
      </c>
      <c r="F124" s="158" t="s">
        <v>1304</v>
      </c>
      <c r="H124" s="159">
        <f>(2.5+0.15+2+3+0.15+0.5+1)*0.31</f>
        <v>2.883</v>
      </c>
      <c r="L124" s="156"/>
      <c r="M124" s="160"/>
      <c r="N124" s="161"/>
      <c r="O124" s="161"/>
      <c r="P124" s="161"/>
      <c r="Q124" s="161"/>
      <c r="R124" s="161"/>
      <c r="S124" s="161"/>
      <c r="T124" s="162"/>
      <c r="AT124" s="157" t="s">
        <v>145</v>
      </c>
      <c r="AU124" s="157" t="s">
        <v>82</v>
      </c>
      <c r="AV124" s="14" t="s">
        <v>82</v>
      </c>
      <c r="AW124" s="14" t="s">
        <v>34</v>
      </c>
      <c r="AX124" s="14" t="s">
        <v>80</v>
      </c>
      <c r="AY124" s="157" t="s">
        <v>138</v>
      </c>
    </row>
    <row r="125" spans="1:65" s="2" customFormat="1" ht="24.2" customHeight="1">
      <c r="A125" s="31"/>
      <c r="B125" s="136"/>
      <c r="C125" s="173" t="s">
        <v>184</v>
      </c>
      <c r="D125" s="173" t="s">
        <v>164</v>
      </c>
      <c r="E125" s="174" t="s">
        <v>1016</v>
      </c>
      <c r="F125" s="175" t="s">
        <v>1017</v>
      </c>
      <c r="G125" s="176" t="s">
        <v>173</v>
      </c>
      <c r="H125" s="177">
        <f>H126</f>
        <v>3.3154499999999998</v>
      </c>
      <c r="I125" s="178"/>
      <c r="J125" s="178">
        <f>ROUND(I125*H125,2)</f>
        <v>0</v>
      </c>
      <c r="K125" s="175" t="s">
        <v>148</v>
      </c>
      <c r="L125" s="179"/>
      <c r="M125" s="180" t="s">
        <v>3</v>
      </c>
      <c r="N125" s="181" t="s">
        <v>43</v>
      </c>
      <c r="O125" s="145">
        <v>0</v>
      </c>
      <c r="P125" s="145">
        <f>O125*H125</f>
        <v>0</v>
      </c>
      <c r="Q125" s="145">
        <v>2.5999999999999999E-3</v>
      </c>
      <c r="R125" s="145">
        <f>Q125*H125</f>
        <v>8.6201699999999999E-3</v>
      </c>
      <c r="S125" s="145">
        <v>0</v>
      </c>
      <c r="T125" s="146">
        <f>S125*H125</f>
        <v>0</v>
      </c>
      <c r="U125" s="31"/>
      <c r="V125" s="31"/>
      <c r="W125" s="31"/>
      <c r="X125" s="31"/>
      <c r="Y125" s="31"/>
      <c r="Z125" s="31"/>
      <c r="AA125" s="31"/>
      <c r="AB125" s="31"/>
      <c r="AC125" s="31"/>
      <c r="AD125" s="31"/>
      <c r="AE125" s="31"/>
      <c r="AR125" s="147" t="s">
        <v>224</v>
      </c>
      <c r="AT125" s="147" t="s">
        <v>164</v>
      </c>
      <c r="AU125" s="147" t="s">
        <v>82</v>
      </c>
      <c r="AY125" s="19" t="s">
        <v>138</v>
      </c>
      <c r="BE125" s="148">
        <f>IF(N125="základní",J125,0)</f>
        <v>0</v>
      </c>
      <c r="BF125" s="148">
        <f>IF(N125="snížená",J125,0)</f>
        <v>0</v>
      </c>
      <c r="BG125" s="148">
        <f>IF(N125="zákl. přenesená",J125,0)</f>
        <v>0</v>
      </c>
      <c r="BH125" s="148">
        <f>IF(N125="sníž. přenesená",J125,0)</f>
        <v>0</v>
      </c>
      <c r="BI125" s="148">
        <f>IF(N125="nulová",J125,0)</f>
        <v>0</v>
      </c>
      <c r="BJ125" s="19" t="s">
        <v>80</v>
      </c>
      <c r="BK125" s="148">
        <f>ROUND(I125*H125,2)</f>
        <v>0</v>
      </c>
      <c r="BL125" s="19" t="s">
        <v>200</v>
      </c>
      <c r="BM125" s="147" t="s">
        <v>1018</v>
      </c>
    </row>
    <row r="126" spans="1:65" s="14" customFormat="1">
      <c r="B126" s="156"/>
      <c r="D126" s="150" t="s">
        <v>145</v>
      </c>
      <c r="F126" s="158" t="s">
        <v>1305</v>
      </c>
      <c r="H126" s="159">
        <f>H122*1.15</f>
        <v>3.3154499999999998</v>
      </c>
      <c r="L126" s="156"/>
      <c r="M126" s="160"/>
      <c r="N126" s="161"/>
      <c r="O126" s="161"/>
      <c r="P126" s="161"/>
      <c r="Q126" s="161"/>
      <c r="R126" s="161"/>
      <c r="S126" s="161"/>
      <c r="T126" s="162"/>
      <c r="AT126" s="157" t="s">
        <v>145</v>
      </c>
      <c r="AU126" s="157" t="s">
        <v>82</v>
      </c>
      <c r="AV126" s="14" t="s">
        <v>82</v>
      </c>
      <c r="AW126" s="14" t="s">
        <v>4</v>
      </c>
      <c r="AX126" s="14" t="s">
        <v>80</v>
      </c>
      <c r="AY126" s="157" t="s">
        <v>138</v>
      </c>
    </row>
    <row r="127" spans="1:65" s="2" customFormat="1" ht="49.15" customHeight="1">
      <c r="A127" s="31"/>
      <c r="B127" s="136"/>
      <c r="C127" s="137" t="s">
        <v>190</v>
      </c>
      <c r="D127" s="137" t="s">
        <v>141</v>
      </c>
      <c r="E127" s="138" t="s">
        <v>1019</v>
      </c>
      <c r="F127" s="139" t="s">
        <v>1020</v>
      </c>
      <c r="G127" s="140" t="s">
        <v>160</v>
      </c>
      <c r="H127" s="141">
        <v>1.0999999999999999E-2</v>
      </c>
      <c r="I127" s="142"/>
      <c r="J127" s="142">
        <f>ROUND(I127*H127,2)</f>
        <v>0</v>
      </c>
      <c r="K127" s="139" t="s">
        <v>148</v>
      </c>
      <c r="L127" s="32"/>
      <c r="M127" s="143" t="s">
        <v>3</v>
      </c>
      <c r="N127" s="144" t="s">
        <v>43</v>
      </c>
      <c r="O127" s="145">
        <v>0.32900000000000001</v>
      </c>
      <c r="P127" s="145">
        <f>O127*H127</f>
        <v>3.6189999999999998E-3</v>
      </c>
      <c r="Q127" s="145">
        <v>0</v>
      </c>
      <c r="R127" s="145">
        <f>Q127*H127</f>
        <v>0</v>
      </c>
      <c r="S127" s="145">
        <v>0</v>
      </c>
      <c r="T127" s="146">
        <f>S127*H127</f>
        <v>0</v>
      </c>
      <c r="U127" s="31"/>
      <c r="V127" s="31"/>
      <c r="W127" s="31"/>
      <c r="X127" s="31"/>
      <c r="Y127" s="31"/>
      <c r="Z127" s="31"/>
      <c r="AA127" s="31"/>
      <c r="AB127" s="31"/>
      <c r="AC127" s="31"/>
      <c r="AD127" s="31"/>
      <c r="AE127" s="31"/>
      <c r="AR127" s="147" t="s">
        <v>200</v>
      </c>
      <c r="AT127" s="147" t="s">
        <v>141</v>
      </c>
      <c r="AU127" s="147" t="s">
        <v>82</v>
      </c>
      <c r="AY127" s="19" t="s">
        <v>138</v>
      </c>
      <c r="BE127" s="148">
        <f>IF(N127="základní",J127,0)</f>
        <v>0</v>
      </c>
      <c r="BF127" s="148">
        <f>IF(N127="snížená",J127,0)</f>
        <v>0</v>
      </c>
      <c r="BG127" s="148">
        <f>IF(N127="zákl. přenesená",J127,0)</f>
        <v>0</v>
      </c>
      <c r="BH127" s="148">
        <f>IF(N127="sníž. přenesená",J127,0)</f>
        <v>0</v>
      </c>
      <c r="BI127" s="148">
        <f>IF(N127="nulová",J127,0)</f>
        <v>0</v>
      </c>
      <c r="BJ127" s="19" t="s">
        <v>80</v>
      </c>
      <c r="BK127" s="148">
        <f>ROUND(I127*H127,2)</f>
        <v>0</v>
      </c>
      <c r="BL127" s="19" t="s">
        <v>200</v>
      </c>
      <c r="BM127" s="147" t="s">
        <v>1021</v>
      </c>
    </row>
    <row r="128" spans="1:65" s="2" customFormat="1" ht="126.75">
      <c r="A128" s="31"/>
      <c r="B128" s="32"/>
      <c r="C128" s="31"/>
      <c r="D128" s="150" t="s">
        <v>149</v>
      </c>
      <c r="E128" s="31"/>
      <c r="F128" s="163" t="s">
        <v>780</v>
      </c>
      <c r="G128" s="31"/>
      <c r="H128" s="31"/>
      <c r="I128" s="31"/>
      <c r="J128" s="31"/>
      <c r="K128" s="31"/>
      <c r="L128" s="32"/>
      <c r="M128" s="164"/>
      <c r="N128" s="165"/>
      <c r="O128" s="52"/>
      <c r="P128" s="52"/>
      <c r="Q128" s="52"/>
      <c r="R128" s="52"/>
      <c r="S128" s="52"/>
      <c r="T128" s="53"/>
      <c r="U128" s="31"/>
      <c r="V128" s="31"/>
      <c r="W128" s="31"/>
      <c r="X128" s="31"/>
      <c r="Y128" s="31"/>
      <c r="Z128" s="31"/>
      <c r="AA128" s="31"/>
      <c r="AB128" s="31"/>
      <c r="AC128" s="31"/>
      <c r="AD128" s="31"/>
      <c r="AE128" s="31"/>
      <c r="AT128" s="19" t="s">
        <v>149</v>
      </c>
      <c r="AU128" s="19" t="s">
        <v>82</v>
      </c>
    </row>
    <row r="129" spans="1:65" s="2" customFormat="1" ht="37.9" customHeight="1">
      <c r="A129" s="31"/>
      <c r="B129" s="136"/>
      <c r="C129" s="137" t="s">
        <v>191</v>
      </c>
      <c r="D129" s="137" t="s">
        <v>141</v>
      </c>
      <c r="E129" s="138" t="s">
        <v>1022</v>
      </c>
      <c r="F129" s="139" t="s">
        <v>1023</v>
      </c>
      <c r="G129" s="140" t="s">
        <v>308</v>
      </c>
      <c r="H129" s="141">
        <f>SUM(J122:J127)/100</f>
        <v>0</v>
      </c>
      <c r="I129" s="142"/>
      <c r="J129" s="142">
        <f>ROUND(I129*H129,2)</f>
        <v>0</v>
      </c>
      <c r="K129" s="139" t="s">
        <v>148</v>
      </c>
      <c r="L129" s="32"/>
      <c r="M129" s="143" t="s">
        <v>3</v>
      </c>
      <c r="N129" s="144" t="s">
        <v>43</v>
      </c>
      <c r="O129" s="145">
        <v>0</v>
      </c>
      <c r="P129" s="145">
        <f>O129*H129</f>
        <v>0</v>
      </c>
      <c r="Q129" s="145">
        <v>0</v>
      </c>
      <c r="R129" s="145">
        <f>Q129*H129</f>
        <v>0</v>
      </c>
      <c r="S129" s="145">
        <v>0</v>
      </c>
      <c r="T129" s="146">
        <f>S129*H129</f>
        <v>0</v>
      </c>
      <c r="U129" s="31"/>
      <c r="V129" s="31"/>
      <c r="W129" s="31"/>
      <c r="X129" s="31"/>
      <c r="Y129" s="31"/>
      <c r="Z129" s="31"/>
      <c r="AA129" s="31"/>
      <c r="AB129" s="31"/>
      <c r="AC129" s="31"/>
      <c r="AD129" s="31"/>
      <c r="AE129" s="31"/>
      <c r="AR129" s="147" t="s">
        <v>200</v>
      </c>
      <c r="AT129" s="147" t="s">
        <v>141</v>
      </c>
      <c r="AU129" s="147" t="s">
        <v>82</v>
      </c>
      <c r="AY129" s="19" t="s">
        <v>138</v>
      </c>
      <c r="BE129" s="148">
        <f>IF(N129="základní",J129,0)</f>
        <v>0</v>
      </c>
      <c r="BF129" s="148">
        <f>IF(N129="snížená",J129,0)</f>
        <v>0</v>
      </c>
      <c r="BG129" s="148">
        <f>IF(N129="zákl. přenesená",J129,0)</f>
        <v>0</v>
      </c>
      <c r="BH129" s="148">
        <f>IF(N129="sníž. přenesená",J129,0)</f>
        <v>0</v>
      </c>
      <c r="BI129" s="148">
        <f>IF(N129="nulová",J129,0)</f>
        <v>0</v>
      </c>
      <c r="BJ129" s="19" t="s">
        <v>80</v>
      </c>
      <c r="BK129" s="148">
        <f>ROUND(I129*H129,2)</f>
        <v>0</v>
      </c>
      <c r="BL129" s="19" t="s">
        <v>200</v>
      </c>
      <c r="BM129" s="147" t="s">
        <v>1024</v>
      </c>
    </row>
    <row r="130" spans="1:65" s="2" customFormat="1" ht="126.75">
      <c r="A130" s="31"/>
      <c r="B130" s="32"/>
      <c r="C130" s="31"/>
      <c r="D130" s="150" t="s">
        <v>149</v>
      </c>
      <c r="E130" s="31"/>
      <c r="F130" s="163" t="s">
        <v>780</v>
      </c>
      <c r="G130" s="31"/>
      <c r="H130" s="31"/>
      <c r="I130" s="31"/>
      <c r="J130" s="31"/>
      <c r="K130" s="31"/>
      <c r="L130" s="32"/>
      <c r="M130" s="164"/>
      <c r="N130" s="165"/>
      <c r="O130" s="52"/>
      <c r="P130" s="52"/>
      <c r="Q130" s="52"/>
      <c r="R130" s="52"/>
      <c r="S130" s="52"/>
      <c r="T130" s="53"/>
      <c r="U130" s="31"/>
      <c r="V130" s="31"/>
      <c r="W130" s="31"/>
      <c r="X130" s="31"/>
      <c r="Y130" s="31"/>
      <c r="Z130" s="31"/>
      <c r="AA130" s="31"/>
      <c r="AB130" s="31"/>
      <c r="AC130" s="31"/>
      <c r="AD130" s="31"/>
      <c r="AE130" s="31"/>
      <c r="AT130" s="19" t="s">
        <v>149</v>
      </c>
      <c r="AU130" s="19" t="s">
        <v>82</v>
      </c>
    </row>
    <row r="131" spans="1:65" s="12" customFormat="1" ht="22.9" customHeight="1">
      <c r="B131" s="124"/>
      <c r="D131" s="125" t="s">
        <v>71</v>
      </c>
      <c r="E131" s="134" t="s">
        <v>1025</v>
      </c>
      <c r="F131" s="134" t="s">
        <v>1026</v>
      </c>
      <c r="J131" s="135">
        <f>BK131</f>
        <v>0</v>
      </c>
      <c r="L131" s="124"/>
      <c r="M131" s="128"/>
      <c r="N131" s="129"/>
      <c r="O131" s="129"/>
      <c r="P131" s="130">
        <f>SUM(P136:P162)</f>
        <v>15.7935</v>
      </c>
      <c r="Q131" s="129"/>
      <c r="R131" s="130">
        <f>SUM(R136:R162)</f>
        <v>2.9910000000000002E-3</v>
      </c>
      <c r="S131" s="129"/>
      <c r="T131" s="131">
        <f>SUM(T136:T162)</f>
        <v>0</v>
      </c>
      <c r="AR131" s="125" t="s">
        <v>82</v>
      </c>
      <c r="AT131" s="132" t="s">
        <v>71</v>
      </c>
      <c r="AU131" s="132" t="s">
        <v>80</v>
      </c>
      <c r="AY131" s="125" t="s">
        <v>138</v>
      </c>
      <c r="BK131" s="133">
        <f>SUM(BK136:BK162)</f>
        <v>0</v>
      </c>
    </row>
    <row r="132" spans="1:65" s="2" customFormat="1" ht="24.2" customHeight="1">
      <c r="B132" s="301"/>
      <c r="C132" s="137" t="s">
        <v>9</v>
      </c>
      <c r="D132" s="137" t="s">
        <v>141</v>
      </c>
      <c r="E132" s="138" t="s">
        <v>1306</v>
      </c>
      <c r="F132" s="139" t="s">
        <v>1307</v>
      </c>
      <c r="G132" s="140" t="s">
        <v>147</v>
      </c>
      <c r="H132" s="141">
        <v>1</v>
      </c>
      <c r="I132" s="142"/>
      <c r="J132" s="142">
        <f>ROUND(I132*H132,2)</f>
        <v>0</v>
      </c>
      <c r="K132" s="139" t="s">
        <v>148</v>
      </c>
      <c r="L132" s="89"/>
      <c r="M132" s="143" t="s">
        <v>3</v>
      </c>
      <c r="N132" s="302" t="s">
        <v>43</v>
      </c>
      <c r="O132" s="303">
        <v>0.41299999999999998</v>
      </c>
      <c r="P132" s="303">
        <f>O132*H132</f>
        <v>0.41299999999999998</v>
      </c>
      <c r="Q132" s="303">
        <v>0</v>
      </c>
      <c r="R132" s="303">
        <f>Q132*H132</f>
        <v>0</v>
      </c>
      <c r="S132" s="303">
        <v>0</v>
      </c>
      <c r="T132" s="146">
        <f>S132*H132</f>
        <v>0</v>
      </c>
      <c r="AR132" s="147" t="s">
        <v>200</v>
      </c>
      <c r="AT132" s="147" t="s">
        <v>141</v>
      </c>
      <c r="AU132" s="147" t="s">
        <v>82</v>
      </c>
      <c r="AY132" s="304" t="s">
        <v>138</v>
      </c>
      <c r="BE132" s="305">
        <f>IF(N132="základní",J132,0)</f>
        <v>0</v>
      </c>
      <c r="BF132" s="305">
        <f>IF(N132="snížená",J132,0)</f>
        <v>0</v>
      </c>
      <c r="BG132" s="305">
        <f>IF(N132="zákl. přenesená",J132,0)</f>
        <v>0</v>
      </c>
      <c r="BH132" s="305">
        <f>IF(N132="sníž. přenesená",J132,0)</f>
        <v>0</v>
      </c>
      <c r="BI132" s="305">
        <f>IF(N132="nulová",J132,0)</f>
        <v>0</v>
      </c>
      <c r="BJ132" s="304" t="s">
        <v>80</v>
      </c>
      <c r="BK132" s="305">
        <f>ROUND(I132*H132,2)</f>
        <v>0</v>
      </c>
      <c r="BL132" s="304" t="s">
        <v>200</v>
      </c>
      <c r="BM132" s="147" t="s">
        <v>1308</v>
      </c>
    </row>
    <row r="133" spans="1:65" s="13" customFormat="1">
      <c r="B133" s="149"/>
      <c r="D133" s="150" t="s">
        <v>145</v>
      </c>
      <c r="E133" s="151" t="s">
        <v>3</v>
      </c>
      <c r="F133" s="152" t="s">
        <v>1010</v>
      </c>
      <c r="H133" s="151" t="s">
        <v>3</v>
      </c>
      <c r="L133" s="149"/>
      <c r="M133" s="153"/>
      <c r="N133" s="306"/>
      <c r="O133" s="306"/>
      <c r="P133" s="306"/>
      <c r="Q133" s="306"/>
      <c r="R133" s="306"/>
      <c r="S133" s="306"/>
      <c r="T133" s="155"/>
      <c r="AT133" s="151" t="s">
        <v>145</v>
      </c>
      <c r="AU133" s="151" t="s">
        <v>82</v>
      </c>
      <c r="AV133" s="13" t="s">
        <v>80</v>
      </c>
      <c r="AW133" s="13" t="s">
        <v>34</v>
      </c>
      <c r="AX133" s="13" t="s">
        <v>72</v>
      </c>
      <c r="AY133" s="151" t="s">
        <v>138</v>
      </c>
    </row>
    <row r="134" spans="1:65" s="14" customFormat="1">
      <c r="B134" s="156"/>
      <c r="D134" s="150" t="s">
        <v>145</v>
      </c>
      <c r="E134" s="157" t="s">
        <v>3</v>
      </c>
      <c r="F134" s="158" t="s">
        <v>80</v>
      </c>
      <c r="H134" s="159">
        <v>1</v>
      </c>
      <c r="L134" s="156"/>
      <c r="M134" s="160"/>
      <c r="N134" s="307"/>
      <c r="O134" s="307"/>
      <c r="P134" s="307"/>
      <c r="Q134" s="307"/>
      <c r="R134" s="307"/>
      <c r="S134" s="307"/>
      <c r="T134" s="162"/>
      <c r="AT134" s="157" t="s">
        <v>145</v>
      </c>
      <c r="AU134" s="157" t="s">
        <v>82</v>
      </c>
      <c r="AV134" s="14" t="s">
        <v>82</v>
      </c>
      <c r="AW134" s="14" t="s">
        <v>34</v>
      </c>
      <c r="AX134" s="14" t="s">
        <v>80</v>
      </c>
      <c r="AY134" s="157" t="s">
        <v>138</v>
      </c>
    </row>
    <row r="135" spans="1:65" s="2" customFormat="1" ht="49.15" customHeight="1">
      <c r="B135" s="301"/>
      <c r="C135" s="173" t="s">
        <v>200</v>
      </c>
      <c r="D135" s="173" t="s">
        <v>164</v>
      </c>
      <c r="E135" s="174" t="s">
        <v>1309</v>
      </c>
      <c r="F135" s="175" t="s">
        <v>1311</v>
      </c>
      <c r="G135" s="176" t="s">
        <v>147</v>
      </c>
      <c r="H135" s="177">
        <v>1</v>
      </c>
      <c r="I135" s="178"/>
      <c r="J135" s="178">
        <f>ROUND(I135*H135,2)</f>
        <v>0</v>
      </c>
      <c r="K135" s="175" t="s">
        <v>143</v>
      </c>
      <c r="L135" s="179"/>
      <c r="M135" s="180" t="s">
        <v>3</v>
      </c>
      <c r="N135" s="308" t="s">
        <v>43</v>
      </c>
      <c r="O135" s="303">
        <v>0</v>
      </c>
      <c r="P135" s="303">
        <f>O135*H135</f>
        <v>0</v>
      </c>
      <c r="Q135" s="303">
        <v>0</v>
      </c>
      <c r="R135" s="303">
        <f>Q135*H135</f>
        <v>0</v>
      </c>
      <c r="S135" s="303">
        <v>0</v>
      </c>
      <c r="T135" s="146">
        <f>S135*H135</f>
        <v>0</v>
      </c>
      <c r="AR135" s="147" t="s">
        <v>224</v>
      </c>
      <c r="AT135" s="147" t="s">
        <v>164</v>
      </c>
      <c r="AU135" s="147" t="s">
        <v>82</v>
      </c>
      <c r="AY135" s="304" t="s">
        <v>138</v>
      </c>
      <c r="BE135" s="305">
        <f>IF(N135="základní",J135,0)</f>
        <v>0</v>
      </c>
      <c r="BF135" s="305">
        <f>IF(N135="snížená",J135,0)</f>
        <v>0</v>
      </c>
      <c r="BG135" s="305">
        <f>IF(N135="zákl. přenesená",J135,0)</f>
        <v>0</v>
      </c>
      <c r="BH135" s="305">
        <f>IF(N135="sníž. přenesená",J135,0)</f>
        <v>0</v>
      </c>
      <c r="BI135" s="305">
        <f>IF(N135="nulová",J135,0)</f>
        <v>0</v>
      </c>
      <c r="BJ135" s="304" t="s">
        <v>80</v>
      </c>
      <c r="BK135" s="305">
        <f>ROUND(I135*H135,2)</f>
        <v>0</v>
      </c>
      <c r="BL135" s="304" t="s">
        <v>200</v>
      </c>
      <c r="BM135" s="147" t="s">
        <v>1310</v>
      </c>
    </row>
    <row r="136" spans="1:65" s="2" customFormat="1" ht="24.2" customHeight="1">
      <c r="A136" s="31"/>
      <c r="B136" s="136"/>
      <c r="C136" s="137" t="s">
        <v>201</v>
      </c>
      <c r="D136" s="137" t="s">
        <v>141</v>
      </c>
      <c r="E136" s="138" t="s">
        <v>1027</v>
      </c>
      <c r="F136" s="139" t="s">
        <v>1028</v>
      </c>
      <c r="G136" s="140" t="s">
        <v>147</v>
      </c>
      <c r="H136" s="141">
        <f>H138</f>
        <v>6</v>
      </c>
      <c r="I136" s="142"/>
      <c r="J136" s="142">
        <f>ROUND(I136*H136,2)</f>
        <v>0</v>
      </c>
      <c r="K136" s="139" t="s">
        <v>148</v>
      </c>
      <c r="L136" s="32"/>
      <c r="M136" s="143" t="s">
        <v>3</v>
      </c>
      <c r="N136" s="144" t="s">
        <v>43</v>
      </c>
      <c r="O136" s="145">
        <v>0.48299999999999998</v>
      </c>
      <c r="P136" s="145">
        <f>O136*H136</f>
        <v>2.8979999999999997</v>
      </c>
      <c r="Q136" s="145">
        <v>0</v>
      </c>
      <c r="R136" s="145">
        <f>Q136*H136</f>
        <v>0</v>
      </c>
      <c r="S136" s="145">
        <v>0</v>
      </c>
      <c r="T136" s="146">
        <f>S136*H136</f>
        <v>0</v>
      </c>
      <c r="U136" s="31"/>
      <c r="V136" s="31"/>
      <c r="W136" s="31"/>
      <c r="X136" s="31"/>
      <c r="Y136" s="31"/>
      <c r="Z136" s="31"/>
      <c r="AA136" s="31"/>
      <c r="AB136" s="31"/>
      <c r="AC136" s="31"/>
      <c r="AD136" s="31"/>
      <c r="AE136" s="31"/>
      <c r="AR136" s="147" t="s">
        <v>200</v>
      </c>
      <c r="AT136" s="147" t="s">
        <v>141</v>
      </c>
      <c r="AU136" s="147" t="s">
        <v>82</v>
      </c>
      <c r="AY136" s="19" t="s">
        <v>138</v>
      </c>
      <c r="BE136" s="148">
        <f>IF(N136="základní",J136,0)</f>
        <v>0</v>
      </c>
      <c r="BF136" s="148">
        <f>IF(N136="snížená",J136,0)</f>
        <v>0</v>
      </c>
      <c r="BG136" s="148">
        <f>IF(N136="zákl. přenesená",J136,0)</f>
        <v>0</v>
      </c>
      <c r="BH136" s="148">
        <f>IF(N136="sníž. přenesená",J136,0)</f>
        <v>0</v>
      </c>
      <c r="BI136" s="148">
        <f>IF(N136="nulová",J136,0)</f>
        <v>0</v>
      </c>
      <c r="BJ136" s="19" t="s">
        <v>80</v>
      </c>
      <c r="BK136" s="148">
        <f>ROUND(I136*H136,2)</f>
        <v>0</v>
      </c>
      <c r="BL136" s="19" t="s">
        <v>200</v>
      </c>
      <c r="BM136" s="147" t="s">
        <v>1029</v>
      </c>
    </row>
    <row r="137" spans="1:65" s="13" customFormat="1">
      <c r="B137" s="149"/>
      <c r="D137" s="150" t="s">
        <v>145</v>
      </c>
      <c r="E137" s="151" t="s">
        <v>3</v>
      </c>
      <c r="F137" s="152" t="s">
        <v>1010</v>
      </c>
      <c r="H137" s="151" t="s">
        <v>3</v>
      </c>
      <c r="L137" s="149"/>
      <c r="M137" s="153"/>
      <c r="N137" s="154"/>
      <c r="O137" s="154"/>
      <c r="P137" s="154"/>
      <c r="Q137" s="154"/>
      <c r="R137" s="154"/>
      <c r="S137" s="154"/>
      <c r="T137" s="155"/>
      <c r="AT137" s="151" t="s">
        <v>145</v>
      </c>
      <c r="AU137" s="151" t="s">
        <v>82</v>
      </c>
      <c r="AV137" s="13" t="s">
        <v>80</v>
      </c>
      <c r="AW137" s="13" t="s">
        <v>34</v>
      </c>
      <c r="AX137" s="13" t="s">
        <v>72</v>
      </c>
      <c r="AY137" s="151" t="s">
        <v>138</v>
      </c>
    </row>
    <row r="138" spans="1:65" s="14" customFormat="1">
      <c r="B138" s="156"/>
      <c r="D138" s="150" t="s">
        <v>145</v>
      </c>
      <c r="E138" s="157" t="s">
        <v>3</v>
      </c>
      <c r="F138" s="158" t="s">
        <v>1312</v>
      </c>
      <c r="H138" s="159">
        <v>6</v>
      </c>
      <c r="L138" s="156"/>
      <c r="M138" s="160"/>
      <c r="N138" s="161"/>
      <c r="O138" s="161"/>
      <c r="P138" s="161"/>
      <c r="Q138" s="161"/>
      <c r="R138" s="161"/>
      <c r="S138" s="161"/>
      <c r="T138" s="162"/>
      <c r="AT138" s="157" t="s">
        <v>145</v>
      </c>
      <c r="AU138" s="157" t="s">
        <v>82</v>
      </c>
      <c r="AV138" s="14" t="s">
        <v>82</v>
      </c>
      <c r="AW138" s="14" t="s">
        <v>34</v>
      </c>
      <c r="AX138" s="14" t="s">
        <v>80</v>
      </c>
      <c r="AY138" s="157" t="s">
        <v>138</v>
      </c>
    </row>
    <row r="139" spans="1:65" s="2" customFormat="1" ht="49.15" customHeight="1">
      <c r="A139" s="31"/>
      <c r="B139" s="136"/>
      <c r="C139" s="173" t="s">
        <v>202</v>
      </c>
      <c r="D139" s="173" t="s">
        <v>164</v>
      </c>
      <c r="E139" s="174" t="s">
        <v>1030</v>
      </c>
      <c r="F139" s="175" t="s">
        <v>1031</v>
      </c>
      <c r="G139" s="176" t="s">
        <v>147</v>
      </c>
      <c r="H139" s="177">
        <f>H136</f>
        <v>6</v>
      </c>
      <c r="I139" s="178"/>
      <c r="J139" s="178">
        <f>ROUND(I139*H139,2)</f>
        <v>0</v>
      </c>
      <c r="K139" s="175" t="s">
        <v>143</v>
      </c>
      <c r="L139" s="179"/>
      <c r="M139" s="180" t="s">
        <v>3</v>
      </c>
      <c r="N139" s="181" t="s">
        <v>43</v>
      </c>
      <c r="O139" s="145">
        <v>0</v>
      </c>
      <c r="P139" s="145">
        <f>O139*H139</f>
        <v>0</v>
      </c>
      <c r="Q139" s="145">
        <v>0</v>
      </c>
      <c r="R139" s="145">
        <f>Q139*H139</f>
        <v>0</v>
      </c>
      <c r="S139" s="145">
        <v>0</v>
      </c>
      <c r="T139" s="146">
        <f>S139*H139</f>
        <v>0</v>
      </c>
      <c r="U139" s="31"/>
      <c r="V139" s="31"/>
      <c r="W139" s="31"/>
      <c r="X139" s="31"/>
      <c r="Y139" s="31"/>
      <c r="Z139" s="31"/>
      <c r="AA139" s="31"/>
      <c r="AB139" s="31"/>
      <c r="AC139" s="31"/>
      <c r="AD139" s="31"/>
      <c r="AE139" s="31"/>
      <c r="AR139" s="147" t="s">
        <v>224</v>
      </c>
      <c r="AT139" s="147" t="s">
        <v>164</v>
      </c>
      <c r="AU139" s="147" t="s">
        <v>82</v>
      </c>
      <c r="AY139" s="19" t="s">
        <v>138</v>
      </c>
      <c r="BE139" s="148">
        <f>IF(N139="základní",J139,0)</f>
        <v>0</v>
      </c>
      <c r="BF139" s="148">
        <f>IF(N139="snížená",J139,0)</f>
        <v>0</v>
      </c>
      <c r="BG139" s="148">
        <f>IF(N139="zákl. přenesená",J139,0)</f>
        <v>0</v>
      </c>
      <c r="BH139" s="148">
        <f>IF(N139="sníž. přenesená",J139,0)</f>
        <v>0</v>
      </c>
      <c r="BI139" s="148">
        <f>IF(N139="nulová",J139,0)</f>
        <v>0</v>
      </c>
      <c r="BJ139" s="19" t="s">
        <v>80</v>
      </c>
      <c r="BK139" s="148">
        <f>ROUND(I139*H139,2)</f>
        <v>0</v>
      </c>
      <c r="BL139" s="19" t="s">
        <v>200</v>
      </c>
      <c r="BM139" s="147" t="s">
        <v>1032</v>
      </c>
    </row>
    <row r="140" spans="1:65" s="2" customFormat="1" ht="24.2" customHeight="1">
      <c r="A140" s="31"/>
      <c r="B140" s="136"/>
      <c r="C140" s="137" t="s">
        <v>203</v>
      </c>
      <c r="D140" s="137" t="s">
        <v>141</v>
      </c>
      <c r="E140" s="138" t="s">
        <v>1033</v>
      </c>
      <c r="F140" s="139" t="s">
        <v>1034</v>
      </c>
      <c r="G140" s="140" t="s">
        <v>147</v>
      </c>
      <c r="H140" s="141">
        <f>H142</f>
        <v>6</v>
      </c>
      <c r="I140" s="142"/>
      <c r="J140" s="142">
        <f>ROUND(I140*H140,2)</f>
        <v>0</v>
      </c>
      <c r="K140" s="139" t="s">
        <v>148</v>
      </c>
      <c r="L140" s="32"/>
      <c r="M140" s="143" t="s">
        <v>3</v>
      </c>
      <c r="N140" s="144" t="s">
        <v>43</v>
      </c>
      <c r="O140" s="145">
        <v>0.67700000000000005</v>
      </c>
      <c r="P140" s="145">
        <f>O140*H140</f>
        <v>4.0620000000000003</v>
      </c>
      <c r="Q140" s="145">
        <v>0</v>
      </c>
      <c r="R140" s="145">
        <f>Q140*H140</f>
        <v>0</v>
      </c>
      <c r="S140" s="145">
        <v>0</v>
      </c>
      <c r="T140" s="146">
        <f>S140*H140</f>
        <v>0</v>
      </c>
      <c r="U140" s="31"/>
      <c r="V140" s="31"/>
      <c r="W140" s="31"/>
      <c r="X140" s="31"/>
      <c r="Y140" s="31"/>
      <c r="Z140" s="31"/>
      <c r="AA140" s="31"/>
      <c r="AB140" s="31"/>
      <c r="AC140" s="31"/>
      <c r="AD140" s="31"/>
      <c r="AE140" s="31"/>
      <c r="AR140" s="147" t="s">
        <v>200</v>
      </c>
      <c r="AT140" s="147" t="s">
        <v>141</v>
      </c>
      <c r="AU140" s="147" t="s">
        <v>82</v>
      </c>
      <c r="AY140" s="19" t="s">
        <v>138</v>
      </c>
      <c r="BE140" s="148">
        <f>IF(N140="základní",J140,0)</f>
        <v>0</v>
      </c>
      <c r="BF140" s="148">
        <f>IF(N140="snížená",J140,0)</f>
        <v>0</v>
      </c>
      <c r="BG140" s="148">
        <f>IF(N140="zákl. přenesená",J140,0)</f>
        <v>0</v>
      </c>
      <c r="BH140" s="148">
        <f>IF(N140="sníž. přenesená",J140,0)</f>
        <v>0</v>
      </c>
      <c r="BI140" s="148">
        <f>IF(N140="nulová",J140,0)</f>
        <v>0</v>
      </c>
      <c r="BJ140" s="19" t="s">
        <v>80</v>
      </c>
      <c r="BK140" s="148">
        <f>ROUND(I140*H140,2)</f>
        <v>0</v>
      </c>
      <c r="BL140" s="19" t="s">
        <v>200</v>
      </c>
      <c r="BM140" s="147" t="s">
        <v>1035</v>
      </c>
    </row>
    <row r="141" spans="1:65" s="13" customFormat="1">
      <c r="B141" s="149"/>
      <c r="D141" s="150" t="s">
        <v>145</v>
      </c>
      <c r="E141" s="151" t="s">
        <v>3</v>
      </c>
      <c r="F141" s="152" t="s">
        <v>198</v>
      </c>
      <c r="H141" s="151" t="s">
        <v>3</v>
      </c>
      <c r="L141" s="149"/>
      <c r="M141" s="153"/>
      <c r="N141" s="154"/>
      <c r="O141" s="154"/>
      <c r="P141" s="154"/>
      <c r="Q141" s="154"/>
      <c r="R141" s="154"/>
      <c r="S141" s="154"/>
      <c r="T141" s="155"/>
      <c r="AT141" s="151" t="s">
        <v>145</v>
      </c>
      <c r="AU141" s="151" t="s">
        <v>82</v>
      </c>
      <c r="AV141" s="13" t="s">
        <v>80</v>
      </c>
      <c r="AW141" s="13" t="s">
        <v>34</v>
      </c>
      <c r="AX141" s="13" t="s">
        <v>72</v>
      </c>
      <c r="AY141" s="151" t="s">
        <v>138</v>
      </c>
    </row>
    <row r="142" spans="1:65" s="14" customFormat="1">
      <c r="B142" s="156"/>
      <c r="D142" s="150" t="s">
        <v>145</v>
      </c>
      <c r="E142" s="157" t="s">
        <v>3</v>
      </c>
      <c r="F142" s="158" t="s">
        <v>1313</v>
      </c>
      <c r="H142" s="159">
        <v>6</v>
      </c>
      <c r="L142" s="156"/>
      <c r="M142" s="160"/>
      <c r="N142" s="161"/>
      <c r="O142" s="161"/>
      <c r="P142" s="161"/>
      <c r="Q142" s="161"/>
      <c r="R142" s="161"/>
      <c r="S142" s="161"/>
      <c r="T142" s="162"/>
      <c r="AT142" s="157" t="s">
        <v>145</v>
      </c>
      <c r="AU142" s="157" t="s">
        <v>82</v>
      </c>
      <c r="AV142" s="14" t="s">
        <v>82</v>
      </c>
      <c r="AW142" s="14" t="s">
        <v>34</v>
      </c>
      <c r="AX142" s="14" t="s">
        <v>80</v>
      </c>
      <c r="AY142" s="157" t="s">
        <v>138</v>
      </c>
    </row>
    <row r="143" spans="1:65" s="2" customFormat="1" ht="24.2" customHeight="1">
      <c r="A143" s="31"/>
      <c r="B143" s="136"/>
      <c r="C143" s="173" t="s">
        <v>204</v>
      </c>
      <c r="D143" s="173" t="s">
        <v>164</v>
      </c>
      <c r="E143" s="174" t="s">
        <v>1036</v>
      </c>
      <c r="F143" s="175" t="s">
        <v>1037</v>
      </c>
      <c r="G143" s="176" t="s">
        <v>147</v>
      </c>
      <c r="H143" s="177">
        <f>H140</f>
        <v>6</v>
      </c>
      <c r="I143" s="178"/>
      <c r="J143" s="178">
        <f>ROUND(I143*H143,2)</f>
        <v>0</v>
      </c>
      <c r="K143" s="175" t="s">
        <v>143</v>
      </c>
      <c r="L143" s="179"/>
      <c r="M143" s="180" t="s">
        <v>3</v>
      </c>
      <c r="N143" s="181" t="s">
        <v>43</v>
      </c>
      <c r="O143" s="145">
        <v>0</v>
      </c>
      <c r="P143" s="145">
        <f>O143*H143</f>
        <v>0</v>
      </c>
      <c r="Q143" s="145">
        <v>0</v>
      </c>
      <c r="R143" s="145">
        <f>Q143*H143</f>
        <v>0</v>
      </c>
      <c r="S143" s="145">
        <v>0</v>
      </c>
      <c r="T143" s="146">
        <f>S143*H143</f>
        <v>0</v>
      </c>
      <c r="U143" s="31"/>
      <c r="V143" s="31"/>
      <c r="W143" s="31"/>
      <c r="X143" s="31"/>
      <c r="Y143" s="31"/>
      <c r="Z143" s="31"/>
      <c r="AA143" s="31"/>
      <c r="AB143" s="31"/>
      <c r="AC143" s="31"/>
      <c r="AD143" s="31"/>
      <c r="AE143" s="31"/>
      <c r="AR143" s="147" t="s">
        <v>224</v>
      </c>
      <c r="AT143" s="147" t="s">
        <v>164</v>
      </c>
      <c r="AU143" s="147" t="s">
        <v>82</v>
      </c>
      <c r="AY143" s="19" t="s">
        <v>138</v>
      </c>
      <c r="BE143" s="148">
        <f>IF(N143="základní",J143,0)</f>
        <v>0</v>
      </c>
      <c r="BF143" s="148">
        <f>IF(N143="snížená",J143,0)</f>
        <v>0</v>
      </c>
      <c r="BG143" s="148">
        <f>IF(N143="zákl. přenesená",J143,0)</f>
        <v>0</v>
      </c>
      <c r="BH143" s="148">
        <f>IF(N143="sníž. přenesená",J143,0)</f>
        <v>0</v>
      </c>
      <c r="BI143" s="148">
        <f>IF(N143="nulová",J143,0)</f>
        <v>0</v>
      </c>
      <c r="BJ143" s="19" t="s">
        <v>80</v>
      </c>
      <c r="BK143" s="148">
        <f>ROUND(I143*H143,2)</f>
        <v>0</v>
      </c>
      <c r="BL143" s="19" t="s">
        <v>200</v>
      </c>
      <c r="BM143" s="147" t="s">
        <v>1038</v>
      </c>
    </row>
    <row r="144" spans="1:65" s="2" customFormat="1" ht="29.25">
      <c r="A144" s="31"/>
      <c r="B144" s="32"/>
      <c r="C144" s="31"/>
      <c r="D144" s="150" t="s">
        <v>242</v>
      </c>
      <c r="E144" s="31"/>
      <c r="F144" s="163" t="s">
        <v>1039</v>
      </c>
      <c r="G144" s="31"/>
      <c r="H144" s="31"/>
      <c r="I144" s="31"/>
      <c r="J144" s="31"/>
      <c r="K144" s="31"/>
      <c r="L144" s="32"/>
      <c r="M144" s="164"/>
      <c r="N144" s="165"/>
      <c r="O144" s="52"/>
      <c r="P144" s="52"/>
      <c r="Q144" s="52"/>
      <c r="R144" s="52"/>
      <c r="S144" s="52"/>
      <c r="T144" s="53"/>
      <c r="U144" s="31"/>
      <c r="V144" s="31"/>
      <c r="W144" s="31"/>
      <c r="X144" s="31"/>
      <c r="Y144" s="31"/>
      <c r="Z144" s="31"/>
      <c r="AA144" s="31"/>
      <c r="AB144" s="31"/>
      <c r="AC144" s="31"/>
      <c r="AD144" s="31"/>
      <c r="AE144" s="31"/>
      <c r="AT144" s="19" t="s">
        <v>242</v>
      </c>
      <c r="AU144" s="19" t="s">
        <v>82</v>
      </c>
    </row>
    <row r="145" spans="1:65" s="2" customFormat="1" ht="37.9" customHeight="1">
      <c r="A145" s="31"/>
      <c r="B145" s="136"/>
      <c r="C145" s="137" t="s">
        <v>8</v>
      </c>
      <c r="D145" s="137" t="s">
        <v>141</v>
      </c>
      <c r="E145" s="138" t="s">
        <v>1040</v>
      </c>
      <c r="F145" s="139" t="s">
        <v>1041</v>
      </c>
      <c r="G145" s="140" t="s">
        <v>147</v>
      </c>
      <c r="H145" s="141">
        <v>3</v>
      </c>
      <c r="I145" s="142"/>
      <c r="J145" s="142">
        <f>ROUND(I145*H145,2)</f>
        <v>0</v>
      </c>
      <c r="K145" s="139" t="s">
        <v>148</v>
      </c>
      <c r="L145" s="32"/>
      <c r="M145" s="143" t="s">
        <v>3</v>
      </c>
      <c r="N145" s="144" t="s">
        <v>43</v>
      </c>
      <c r="O145" s="145">
        <v>0.67700000000000005</v>
      </c>
      <c r="P145" s="145">
        <f>O145*H145</f>
        <v>2.0310000000000001</v>
      </c>
      <c r="Q145" s="145">
        <v>0</v>
      </c>
      <c r="R145" s="145">
        <f>Q145*H145</f>
        <v>0</v>
      </c>
      <c r="S145" s="145">
        <v>0</v>
      </c>
      <c r="T145" s="146">
        <f>S145*H145</f>
        <v>0</v>
      </c>
      <c r="U145" s="31"/>
      <c r="V145" s="31"/>
      <c r="W145" s="31"/>
      <c r="X145" s="31"/>
      <c r="Y145" s="31"/>
      <c r="Z145" s="31"/>
      <c r="AA145" s="31"/>
      <c r="AB145" s="31"/>
      <c r="AC145" s="31"/>
      <c r="AD145" s="31"/>
      <c r="AE145" s="31"/>
      <c r="AR145" s="147" t="s">
        <v>200</v>
      </c>
      <c r="AT145" s="147" t="s">
        <v>141</v>
      </c>
      <c r="AU145" s="147" t="s">
        <v>82</v>
      </c>
      <c r="AY145" s="19" t="s">
        <v>138</v>
      </c>
      <c r="BE145" s="148">
        <f>IF(N145="základní",J145,0)</f>
        <v>0</v>
      </c>
      <c r="BF145" s="148">
        <f>IF(N145="snížená",J145,0)</f>
        <v>0</v>
      </c>
      <c r="BG145" s="148">
        <f>IF(N145="zákl. přenesená",J145,0)</f>
        <v>0</v>
      </c>
      <c r="BH145" s="148">
        <f>IF(N145="sníž. přenesená",J145,0)</f>
        <v>0</v>
      </c>
      <c r="BI145" s="148">
        <f>IF(N145="nulová",J145,0)</f>
        <v>0</v>
      </c>
      <c r="BJ145" s="19" t="s">
        <v>80</v>
      </c>
      <c r="BK145" s="148">
        <f>ROUND(I145*H145,2)</f>
        <v>0</v>
      </c>
      <c r="BL145" s="19" t="s">
        <v>200</v>
      </c>
      <c r="BM145" s="147" t="s">
        <v>1042</v>
      </c>
    </row>
    <row r="146" spans="1:65" s="13" customFormat="1">
      <c r="B146" s="149"/>
      <c r="D146" s="150" t="s">
        <v>145</v>
      </c>
      <c r="E146" s="151" t="s">
        <v>3</v>
      </c>
      <c r="F146" s="152" t="s">
        <v>1010</v>
      </c>
      <c r="H146" s="151" t="s">
        <v>3</v>
      </c>
      <c r="L146" s="149"/>
      <c r="M146" s="153"/>
      <c r="N146" s="154"/>
      <c r="O146" s="154"/>
      <c r="P146" s="154"/>
      <c r="Q146" s="154"/>
      <c r="R146" s="154"/>
      <c r="S146" s="154"/>
      <c r="T146" s="155"/>
      <c r="AT146" s="151" t="s">
        <v>145</v>
      </c>
      <c r="AU146" s="151" t="s">
        <v>82</v>
      </c>
      <c r="AV146" s="13" t="s">
        <v>80</v>
      </c>
      <c r="AW146" s="13" t="s">
        <v>34</v>
      </c>
      <c r="AX146" s="13" t="s">
        <v>72</v>
      </c>
      <c r="AY146" s="151" t="s">
        <v>138</v>
      </c>
    </row>
    <row r="147" spans="1:65" s="14" customFormat="1">
      <c r="B147" s="156"/>
      <c r="D147" s="150" t="s">
        <v>145</v>
      </c>
      <c r="E147" s="157" t="s">
        <v>3</v>
      </c>
      <c r="F147" s="158" t="s">
        <v>809</v>
      </c>
      <c r="H147" s="159">
        <v>3</v>
      </c>
      <c r="L147" s="156"/>
      <c r="M147" s="160"/>
      <c r="N147" s="161"/>
      <c r="O147" s="161"/>
      <c r="P147" s="161"/>
      <c r="Q147" s="161"/>
      <c r="R147" s="161"/>
      <c r="S147" s="161"/>
      <c r="T147" s="162"/>
      <c r="AT147" s="157" t="s">
        <v>145</v>
      </c>
      <c r="AU147" s="157" t="s">
        <v>82</v>
      </c>
      <c r="AV147" s="14" t="s">
        <v>82</v>
      </c>
      <c r="AW147" s="14" t="s">
        <v>34</v>
      </c>
      <c r="AX147" s="14" t="s">
        <v>80</v>
      </c>
      <c r="AY147" s="157" t="s">
        <v>138</v>
      </c>
    </row>
    <row r="148" spans="1:65" s="2" customFormat="1" ht="24.2" customHeight="1">
      <c r="A148" s="31"/>
      <c r="B148" s="136"/>
      <c r="C148" s="173" t="s">
        <v>205</v>
      </c>
      <c r="D148" s="173" t="s">
        <v>164</v>
      </c>
      <c r="E148" s="174" t="s">
        <v>1043</v>
      </c>
      <c r="F148" s="175" t="s">
        <v>1044</v>
      </c>
      <c r="G148" s="176" t="s">
        <v>147</v>
      </c>
      <c r="H148" s="177">
        <v>3</v>
      </c>
      <c r="I148" s="178"/>
      <c r="J148" s="178">
        <f>ROUND(I148*H148,2)</f>
        <v>0</v>
      </c>
      <c r="K148" s="175" t="s">
        <v>143</v>
      </c>
      <c r="L148" s="179"/>
      <c r="M148" s="180" t="s">
        <v>3</v>
      </c>
      <c r="N148" s="181" t="s">
        <v>43</v>
      </c>
      <c r="O148" s="145">
        <v>0</v>
      </c>
      <c r="P148" s="145">
        <f>O148*H148</f>
        <v>0</v>
      </c>
      <c r="Q148" s="145">
        <v>0</v>
      </c>
      <c r="R148" s="145">
        <f>Q148*H148</f>
        <v>0</v>
      </c>
      <c r="S148" s="145">
        <v>0</v>
      </c>
      <c r="T148" s="146">
        <f>S148*H148</f>
        <v>0</v>
      </c>
      <c r="U148" s="31"/>
      <c r="V148" s="31"/>
      <c r="W148" s="31"/>
      <c r="X148" s="31"/>
      <c r="Y148" s="31"/>
      <c r="Z148" s="31"/>
      <c r="AA148" s="31"/>
      <c r="AB148" s="31"/>
      <c r="AC148" s="31"/>
      <c r="AD148" s="31"/>
      <c r="AE148" s="31"/>
      <c r="AR148" s="147" t="s">
        <v>224</v>
      </c>
      <c r="AT148" s="147" t="s">
        <v>164</v>
      </c>
      <c r="AU148" s="147" t="s">
        <v>82</v>
      </c>
      <c r="AY148" s="19" t="s">
        <v>138</v>
      </c>
      <c r="BE148" s="148">
        <f>IF(N148="základní",J148,0)</f>
        <v>0</v>
      </c>
      <c r="BF148" s="148">
        <f>IF(N148="snížená",J148,0)</f>
        <v>0</v>
      </c>
      <c r="BG148" s="148">
        <f>IF(N148="zákl. přenesená",J148,0)</f>
        <v>0</v>
      </c>
      <c r="BH148" s="148">
        <f>IF(N148="sníž. přenesená",J148,0)</f>
        <v>0</v>
      </c>
      <c r="BI148" s="148">
        <f>IF(N148="nulová",J148,0)</f>
        <v>0</v>
      </c>
      <c r="BJ148" s="19" t="s">
        <v>80</v>
      </c>
      <c r="BK148" s="148">
        <f>ROUND(I148*H148,2)</f>
        <v>0</v>
      </c>
      <c r="BL148" s="19" t="s">
        <v>200</v>
      </c>
      <c r="BM148" s="147" t="s">
        <v>1045</v>
      </c>
    </row>
    <row r="149" spans="1:65" s="2" customFormat="1" ht="24.2" customHeight="1">
      <c r="A149" s="31"/>
      <c r="B149" s="136"/>
      <c r="C149" s="137" t="s">
        <v>206</v>
      </c>
      <c r="D149" s="137" t="s">
        <v>141</v>
      </c>
      <c r="E149" s="138" t="s">
        <v>1046</v>
      </c>
      <c r="F149" s="139" t="s">
        <v>1047</v>
      </c>
      <c r="G149" s="140" t="s">
        <v>187</v>
      </c>
      <c r="H149" s="141">
        <f>H151</f>
        <v>9.3000000000000007</v>
      </c>
      <c r="I149" s="142"/>
      <c r="J149" s="142">
        <f>ROUND(I149*H149,2)</f>
        <v>0</v>
      </c>
      <c r="K149" s="139" t="s">
        <v>148</v>
      </c>
      <c r="L149" s="32"/>
      <c r="M149" s="143" t="s">
        <v>3</v>
      </c>
      <c r="N149" s="144" t="s">
        <v>43</v>
      </c>
      <c r="O149" s="145">
        <v>0.38500000000000001</v>
      </c>
      <c r="P149" s="145">
        <f>O149*H149</f>
        <v>3.5805000000000002</v>
      </c>
      <c r="Q149" s="145">
        <v>0</v>
      </c>
      <c r="R149" s="145">
        <f>Q149*H149</f>
        <v>0</v>
      </c>
      <c r="S149" s="145">
        <v>0</v>
      </c>
      <c r="T149" s="146">
        <f>S149*H149</f>
        <v>0</v>
      </c>
      <c r="U149" s="31"/>
      <c r="V149" s="31"/>
      <c r="W149" s="31"/>
      <c r="X149" s="31"/>
      <c r="Y149" s="31"/>
      <c r="Z149" s="31"/>
      <c r="AA149" s="31"/>
      <c r="AB149" s="31"/>
      <c r="AC149" s="31"/>
      <c r="AD149" s="31"/>
      <c r="AE149" s="31"/>
      <c r="AR149" s="147" t="s">
        <v>200</v>
      </c>
      <c r="AT149" s="147" t="s">
        <v>141</v>
      </c>
      <c r="AU149" s="147" t="s">
        <v>82</v>
      </c>
      <c r="AY149" s="19" t="s">
        <v>138</v>
      </c>
      <c r="BE149" s="148">
        <f>IF(N149="základní",J149,0)</f>
        <v>0</v>
      </c>
      <c r="BF149" s="148">
        <f>IF(N149="snížená",J149,0)</f>
        <v>0</v>
      </c>
      <c r="BG149" s="148">
        <f>IF(N149="zákl. přenesená",J149,0)</f>
        <v>0</v>
      </c>
      <c r="BH149" s="148">
        <f>IF(N149="sníž. přenesená",J149,0)</f>
        <v>0</v>
      </c>
      <c r="BI149" s="148">
        <f>IF(N149="nulová",J149,0)</f>
        <v>0</v>
      </c>
      <c r="BJ149" s="19" t="s">
        <v>80</v>
      </c>
      <c r="BK149" s="148">
        <f>ROUND(I149*H149,2)</f>
        <v>0</v>
      </c>
      <c r="BL149" s="19" t="s">
        <v>200</v>
      </c>
      <c r="BM149" s="147" t="s">
        <v>1048</v>
      </c>
    </row>
    <row r="150" spans="1:65" s="13" customFormat="1">
      <c r="B150" s="149"/>
      <c r="D150" s="150" t="s">
        <v>145</v>
      </c>
      <c r="E150" s="151" t="s">
        <v>3</v>
      </c>
      <c r="F150" s="152" t="s">
        <v>1010</v>
      </c>
      <c r="H150" s="151" t="s">
        <v>3</v>
      </c>
      <c r="L150" s="149"/>
      <c r="M150" s="153"/>
      <c r="N150" s="154"/>
      <c r="O150" s="154"/>
      <c r="P150" s="154"/>
      <c r="Q150" s="154"/>
      <c r="R150" s="154"/>
      <c r="S150" s="154"/>
      <c r="T150" s="155"/>
      <c r="AT150" s="151" t="s">
        <v>145</v>
      </c>
      <c r="AU150" s="151" t="s">
        <v>82</v>
      </c>
      <c r="AV150" s="13" t="s">
        <v>80</v>
      </c>
      <c r="AW150" s="13" t="s">
        <v>34</v>
      </c>
      <c r="AX150" s="13" t="s">
        <v>72</v>
      </c>
      <c r="AY150" s="151" t="s">
        <v>138</v>
      </c>
    </row>
    <row r="151" spans="1:65" s="14" customFormat="1">
      <c r="B151" s="156"/>
      <c r="D151" s="150" t="s">
        <v>145</v>
      </c>
      <c r="E151" s="157" t="s">
        <v>3</v>
      </c>
      <c r="F151" s="158" t="s">
        <v>1314</v>
      </c>
      <c r="H151" s="159">
        <f>2.5+0.15+2+3+0.15+0.5+1</f>
        <v>9.3000000000000007</v>
      </c>
      <c r="L151" s="156"/>
      <c r="M151" s="160"/>
      <c r="N151" s="161"/>
      <c r="O151" s="161"/>
      <c r="P151" s="161"/>
      <c r="Q151" s="161"/>
      <c r="R151" s="161"/>
      <c r="S151" s="161"/>
      <c r="T151" s="162"/>
      <c r="AT151" s="157" t="s">
        <v>145</v>
      </c>
      <c r="AU151" s="157" t="s">
        <v>82</v>
      </c>
      <c r="AV151" s="14" t="s">
        <v>82</v>
      </c>
      <c r="AW151" s="14" t="s">
        <v>34</v>
      </c>
      <c r="AX151" s="14" t="s">
        <v>80</v>
      </c>
      <c r="AY151" s="157" t="s">
        <v>138</v>
      </c>
    </row>
    <row r="152" spans="1:65" s="2" customFormat="1" ht="49.15" customHeight="1">
      <c r="A152" s="31"/>
      <c r="B152" s="136"/>
      <c r="C152" s="173" t="s">
        <v>207</v>
      </c>
      <c r="D152" s="173" t="s">
        <v>164</v>
      </c>
      <c r="E152" s="174" t="s">
        <v>1049</v>
      </c>
      <c r="F152" s="175" t="s">
        <v>1050</v>
      </c>
      <c r="G152" s="176" t="s">
        <v>187</v>
      </c>
      <c r="H152" s="177">
        <f>H153</f>
        <v>11.625</v>
      </c>
      <c r="I152" s="178"/>
      <c r="J152" s="178">
        <f>ROUND(I152*H152,2)</f>
        <v>0</v>
      </c>
      <c r="K152" s="175" t="s">
        <v>143</v>
      </c>
      <c r="L152" s="179"/>
      <c r="M152" s="180" t="s">
        <v>3</v>
      </c>
      <c r="N152" s="181" t="s">
        <v>43</v>
      </c>
      <c r="O152" s="145">
        <v>0</v>
      </c>
      <c r="P152" s="145">
        <f>O152*H152</f>
        <v>0</v>
      </c>
      <c r="Q152" s="145">
        <v>0</v>
      </c>
      <c r="R152" s="145">
        <f>Q152*H152</f>
        <v>0</v>
      </c>
      <c r="S152" s="145">
        <v>0</v>
      </c>
      <c r="T152" s="146">
        <f>S152*H152</f>
        <v>0</v>
      </c>
      <c r="U152" s="31"/>
      <c r="V152" s="31"/>
      <c r="W152" s="31"/>
      <c r="X152" s="31"/>
      <c r="Y152" s="31"/>
      <c r="Z152" s="31"/>
      <c r="AA152" s="31"/>
      <c r="AB152" s="31"/>
      <c r="AC152" s="31"/>
      <c r="AD152" s="31"/>
      <c r="AE152" s="31"/>
      <c r="AR152" s="147" t="s">
        <v>224</v>
      </c>
      <c r="AT152" s="147" t="s">
        <v>164</v>
      </c>
      <c r="AU152" s="147" t="s">
        <v>82</v>
      </c>
      <c r="AY152" s="19" t="s">
        <v>138</v>
      </c>
      <c r="BE152" s="148">
        <f>IF(N152="základní",J152,0)</f>
        <v>0</v>
      </c>
      <c r="BF152" s="148">
        <f>IF(N152="snížená",J152,0)</f>
        <v>0</v>
      </c>
      <c r="BG152" s="148">
        <f>IF(N152="zákl. přenesená",J152,0)</f>
        <v>0</v>
      </c>
      <c r="BH152" s="148">
        <f>IF(N152="sníž. přenesená",J152,0)</f>
        <v>0</v>
      </c>
      <c r="BI152" s="148">
        <f>IF(N152="nulová",J152,0)</f>
        <v>0</v>
      </c>
      <c r="BJ152" s="19" t="s">
        <v>80</v>
      </c>
      <c r="BK152" s="148">
        <f>ROUND(I152*H152,2)</f>
        <v>0</v>
      </c>
      <c r="BL152" s="19" t="s">
        <v>200</v>
      </c>
      <c r="BM152" s="147" t="s">
        <v>1051</v>
      </c>
    </row>
    <row r="153" spans="1:65" s="14" customFormat="1">
      <c r="B153" s="156"/>
      <c r="D153" s="150" t="s">
        <v>145</v>
      </c>
      <c r="F153" s="158" t="s">
        <v>1315</v>
      </c>
      <c r="H153" s="159">
        <f>H151*1.25</f>
        <v>11.625</v>
      </c>
      <c r="L153" s="156"/>
      <c r="M153" s="160"/>
      <c r="N153" s="161"/>
      <c r="O153" s="161"/>
      <c r="P153" s="161"/>
      <c r="Q153" s="161"/>
      <c r="R153" s="161"/>
      <c r="S153" s="161"/>
      <c r="T153" s="162"/>
      <c r="AT153" s="157" t="s">
        <v>145</v>
      </c>
      <c r="AU153" s="157" t="s">
        <v>82</v>
      </c>
      <c r="AV153" s="14" t="s">
        <v>82</v>
      </c>
      <c r="AW153" s="14" t="s">
        <v>4</v>
      </c>
      <c r="AX153" s="14" t="s">
        <v>80</v>
      </c>
      <c r="AY153" s="157" t="s">
        <v>138</v>
      </c>
    </row>
    <row r="154" spans="1:65" s="2" customFormat="1" ht="14.45" customHeight="1">
      <c r="A154" s="31"/>
      <c r="B154" s="136"/>
      <c r="C154" s="173" t="s">
        <v>208</v>
      </c>
      <c r="D154" s="173" t="s">
        <v>164</v>
      </c>
      <c r="E154" s="174" t="s">
        <v>1052</v>
      </c>
      <c r="F154" s="175" t="s">
        <v>1053</v>
      </c>
      <c r="G154" s="176" t="s">
        <v>173</v>
      </c>
      <c r="H154" s="177">
        <f>H155</f>
        <v>3.6037499999999998</v>
      </c>
      <c r="I154" s="178"/>
      <c r="J154" s="178">
        <f>ROUND(I154*H154,2)</f>
        <v>0</v>
      </c>
      <c r="K154" s="175" t="s">
        <v>143</v>
      </c>
      <c r="L154" s="179"/>
      <c r="M154" s="180" t="s">
        <v>3</v>
      </c>
      <c r="N154" s="181" t="s">
        <v>43</v>
      </c>
      <c r="O154" s="145">
        <v>0</v>
      </c>
      <c r="P154" s="145">
        <f>O154*H154</f>
        <v>0</v>
      </c>
      <c r="Q154" s="145">
        <v>0</v>
      </c>
      <c r="R154" s="145">
        <f>Q154*H154</f>
        <v>0</v>
      </c>
      <c r="S154" s="145">
        <v>0</v>
      </c>
      <c r="T154" s="146">
        <f>S154*H154</f>
        <v>0</v>
      </c>
      <c r="U154" s="31"/>
      <c r="V154" s="31"/>
      <c r="W154" s="31"/>
      <c r="X154" s="31"/>
      <c r="Y154" s="31"/>
      <c r="Z154" s="31"/>
      <c r="AA154" s="31"/>
      <c r="AB154" s="31"/>
      <c r="AC154" s="31"/>
      <c r="AD154" s="31"/>
      <c r="AE154" s="31"/>
      <c r="AR154" s="147" t="s">
        <v>224</v>
      </c>
      <c r="AT154" s="147" t="s">
        <v>164</v>
      </c>
      <c r="AU154" s="147" t="s">
        <v>82</v>
      </c>
      <c r="AY154" s="19" t="s">
        <v>138</v>
      </c>
      <c r="BE154" s="148">
        <f>IF(N154="základní",J154,0)</f>
        <v>0</v>
      </c>
      <c r="BF154" s="148">
        <f>IF(N154="snížená",J154,0)</f>
        <v>0</v>
      </c>
      <c r="BG154" s="148">
        <f>IF(N154="zákl. přenesená",J154,0)</f>
        <v>0</v>
      </c>
      <c r="BH154" s="148">
        <f>IF(N154="sníž. přenesená",J154,0)</f>
        <v>0</v>
      </c>
      <c r="BI154" s="148">
        <f>IF(N154="nulová",J154,0)</f>
        <v>0</v>
      </c>
      <c r="BJ154" s="19" t="s">
        <v>80</v>
      </c>
      <c r="BK154" s="148">
        <f>ROUND(I154*H154,2)</f>
        <v>0</v>
      </c>
      <c r="BL154" s="19" t="s">
        <v>200</v>
      </c>
      <c r="BM154" s="147" t="s">
        <v>1054</v>
      </c>
    </row>
    <row r="155" spans="1:65" s="14" customFormat="1">
      <c r="B155" s="156"/>
      <c r="D155" s="150" t="s">
        <v>145</v>
      </c>
      <c r="F155" s="158" t="s">
        <v>1316</v>
      </c>
      <c r="H155" s="159">
        <f>H151*0.31*1.25</f>
        <v>3.6037499999999998</v>
      </c>
      <c r="L155" s="156"/>
      <c r="M155" s="160"/>
      <c r="N155" s="161"/>
      <c r="O155" s="161"/>
      <c r="P155" s="161"/>
      <c r="Q155" s="161"/>
      <c r="R155" s="161"/>
      <c r="S155" s="161"/>
      <c r="T155" s="162"/>
      <c r="AT155" s="157" t="s">
        <v>145</v>
      </c>
      <c r="AU155" s="157" t="s">
        <v>82</v>
      </c>
      <c r="AV155" s="14" t="s">
        <v>82</v>
      </c>
      <c r="AW155" s="14" t="s">
        <v>4</v>
      </c>
      <c r="AX155" s="14" t="s">
        <v>80</v>
      </c>
      <c r="AY155" s="157" t="s">
        <v>138</v>
      </c>
    </row>
    <row r="156" spans="1:65" s="2" customFormat="1" ht="24.2" customHeight="1">
      <c r="A156" s="31"/>
      <c r="B156" s="136"/>
      <c r="C156" s="137" t="s">
        <v>209</v>
      </c>
      <c r="D156" s="137" t="s">
        <v>141</v>
      </c>
      <c r="E156" s="138" t="s">
        <v>1055</v>
      </c>
      <c r="F156" s="139" t="s">
        <v>1056</v>
      </c>
      <c r="G156" s="140" t="s">
        <v>187</v>
      </c>
      <c r="H156" s="141">
        <f>H149</f>
        <v>9.3000000000000007</v>
      </c>
      <c r="I156" s="142"/>
      <c r="J156" s="142">
        <f>ROUND(I156*H156,2)</f>
        <v>0</v>
      </c>
      <c r="K156" s="139" t="s">
        <v>148</v>
      </c>
      <c r="L156" s="32"/>
      <c r="M156" s="143" t="s">
        <v>3</v>
      </c>
      <c r="N156" s="144" t="s">
        <v>43</v>
      </c>
      <c r="O156" s="145">
        <v>0.24</v>
      </c>
      <c r="P156" s="145">
        <f>O156*H156</f>
        <v>2.2320000000000002</v>
      </c>
      <c r="Q156" s="145">
        <v>1.7000000000000001E-4</v>
      </c>
      <c r="R156" s="145">
        <f>Q156*H156</f>
        <v>1.5810000000000002E-3</v>
      </c>
      <c r="S156" s="145">
        <v>0</v>
      </c>
      <c r="T156" s="146">
        <f>S156*H156</f>
        <v>0</v>
      </c>
      <c r="U156" s="31"/>
      <c r="V156" s="31"/>
      <c r="W156" s="31"/>
      <c r="X156" s="31"/>
      <c r="Y156" s="31"/>
      <c r="Z156" s="31"/>
      <c r="AA156" s="31"/>
      <c r="AB156" s="31"/>
      <c r="AC156" s="31"/>
      <c r="AD156" s="31"/>
      <c r="AE156" s="31"/>
      <c r="AR156" s="147" t="s">
        <v>200</v>
      </c>
      <c r="AT156" s="147" t="s">
        <v>141</v>
      </c>
      <c r="AU156" s="147" t="s">
        <v>82</v>
      </c>
      <c r="AY156" s="19" t="s">
        <v>138</v>
      </c>
      <c r="BE156" s="148">
        <f>IF(N156="základní",J156,0)</f>
        <v>0</v>
      </c>
      <c r="BF156" s="148">
        <f>IF(N156="snížená",J156,0)</f>
        <v>0</v>
      </c>
      <c r="BG156" s="148">
        <f>IF(N156="zákl. přenesená",J156,0)</f>
        <v>0</v>
      </c>
      <c r="BH156" s="148">
        <f>IF(N156="sníž. přenesená",J156,0)</f>
        <v>0</v>
      </c>
      <c r="BI156" s="148">
        <f>IF(N156="nulová",J156,0)</f>
        <v>0</v>
      </c>
      <c r="BJ156" s="19" t="s">
        <v>80</v>
      </c>
      <c r="BK156" s="148">
        <f>ROUND(I156*H156,2)</f>
        <v>0</v>
      </c>
      <c r="BL156" s="19" t="s">
        <v>200</v>
      </c>
      <c r="BM156" s="147" t="s">
        <v>1057</v>
      </c>
    </row>
    <row r="157" spans="1:65" s="2" customFormat="1" ht="37.9" customHeight="1">
      <c r="A157" s="31"/>
      <c r="B157" s="136"/>
      <c r="C157" s="137" t="s">
        <v>210</v>
      </c>
      <c r="D157" s="137" t="s">
        <v>141</v>
      </c>
      <c r="E157" s="138" t="s">
        <v>1058</v>
      </c>
      <c r="F157" s="139" t="s">
        <v>1059</v>
      </c>
      <c r="G157" s="140" t="s">
        <v>147</v>
      </c>
      <c r="H157" s="141">
        <v>3</v>
      </c>
      <c r="I157" s="142"/>
      <c r="J157" s="142">
        <f>ROUND(I157*H157,2)</f>
        <v>0</v>
      </c>
      <c r="K157" s="139" t="s">
        <v>148</v>
      </c>
      <c r="L157" s="32"/>
      <c r="M157" s="143" t="s">
        <v>3</v>
      </c>
      <c r="N157" s="144" t="s">
        <v>43</v>
      </c>
      <c r="O157" s="145">
        <v>0.33</v>
      </c>
      <c r="P157" s="145">
        <f>O157*H157</f>
        <v>0.99</v>
      </c>
      <c r="Q157" s="145">
        <v>4.6999999999999999E-4</v>
      </c>
      <c r="R157" s="145">
        <f>Q157*H157</f>
        <v>1.41E-3</v>
      </c>
      <c r="S157" s="145">
        <v>0</v>
      </c>
      <c r="T157" s="146">
        <f>S157*H157</f>
        <v>0</v>
      </c>
      <c r="U157" s="31"/>
      <c r="V157" s="31"/>
      <c r="W157" s="31"/>
      <c r="X157" s="31"/>
      <c r="Y157" s="31"/>
      <c r="Z157" s="31"/>
      <c r="AA157" s="31"/>
      <c r="AB157" s="31"/>
      <c r="AC157" s="31"/>
      <c r="AD157" s="31"/>
      <c r="AE157" s="31"/>
      <c r="AR157" s="147" t="s">
        <v>200</v>
      </c>
      <c r="AT157" s="147" t="s">
        <v>141</v>
      </c>
      <c r="AU157" s="147" t="s">
        <v>82</v>
      </c>
      <c r="AY157" s="19" t="s">
        <v>138</v>
      </c>
      <c r="BE157" s="148">
        <f>IF(N157="základní",J157,0)</f>
        <v>0</v>
      </c>
      <c r="BF157" s="148">
        <f>IF(N157="snížená",J157,0)</f>
        <v>0</v>
      </c>
      <c r="BG157" s="148">
        <f>IF(N157="zákl. přenesená",J157,0)</f>
        <v>0</v>
      </c>
      <c r="BH157" s="148">
        <f>IF(N157="sníž. přenesená",J157,0)</f>
        <v>0</v>
      </c>
      <c r="BI157" s="148">
        <f>IF(N157="nulová",J157,0)</f>
        <v>0</v>
      </c>
      <c r="BJ157" s="19" t="s">
        <v>80</v>
      </c>
      <c r="BK157" s="148">
        <f>ROUND(I157*H157,2)</f>
        <v>0</v>
      </c>
      <c r="BL157" s="19" t="s">
        <v>200</v>
      </c>
      <c r="BM157" s="147" t="s">
        <v>1060</v>
      </c>
    </row>
    <row r="158" spans="1:65" s="2" customFormat="1" ht="68.25">
      <c r="A158" s="31"/>
      <c r="B158" s="32"/>
      <c r="C158" s="31"/>
      <c r="D158" s="150" t="s">
        <v>149</v>
      </c>
      <c r="E158" s="31"/>
      <c r="F158" s="163" t="s">
        <v>1061</v>
      </c>
      <c r="G158" s="31"/>
      <c r="H158" s="31"/>
      <c r="I158" s="31"/>
      <c r="J158" s="31"/>
      <c r="K158" s="31"/>
      <c r="L158" s="32"/>
      <c r="M158" s="164"/>
      <c r="N158" s="165"/>
      <c r="O158" s="52"/>
      <c r="P158" s="52"/>
      <c r="Q158" s="52"/>
      <c r="R158" s="52"/>
      <c r="S158" s="52"/>
      <c r="T158" s="53"/>
      <c r="U158" s="31"/>
      <c r="V158" s="31"/>
      <c r="W158" s="31"/>
      <c r="X158" s="31"/>
      <c r="Y158" s="31"/>
      <c r="Z158" s="31"/>
      <c r="AA158" s="31"/>
      <c r="AB158" s="31"/>
      <c r="AC158" s="31"/>
      <c r="AD158" s="31"/>
      <c r="AE158" s="31"/>
      <c r="AT158" s="19" t="s">
        <v>149</v>
      </c>
      <c r="AU158" s="19" t="s">
        <v>82</v>
      </c>
    </row>
    <row r="159" spans="1:65" s="2" customFormat="1" ht="37.9" customHeight="1">
      <c r="A159" s="31"/>
      <c r="B159" s="136"/>
      <c r="C159" s="137" t="s">
        <v>212</v>
      </c>
      <c r="D159" s="137" t="s">
        <v>141</v>
      </c>
      <c r="E159" s="138" t="s">
        <v>1062</v>
      </c>
      <c r="F159" s="139" t="s">
        <v>1063</v>
      </c>
      <c r="G159" s="140" t="s">
        <v>308</v>
      </c>
      <c r="H159" s="141">
        <f>SUM(J136:J157)/100</f>
        <v>0</v>
      </c>
      <c r="I159" s="142"/>
      <c r="J159" s="142">
        <f>ROUND(I159*H159,2)</f>
        <v>0</v>
      </c>
      <c r="K159" s="139" t="s">
        <v>148</v>
      </c>
      <c r="L159" s="32"/>
      <c r="M159" s="143" t="s">
        <v>3</v>
      </c>
      <c r="N159" s="144" t="s">
        <v>43</v>
      </c>
      <c r="O159" s="145">
        <v>0</v>
      </c>
      <c r="P159" s="145">
        <f>O159*H159</f>
        <v>0</v>
      </c>
      <c r="Q159" s="145">
        <v>0</v>
      </c>
      <c r="R159" s="145">
        <f>Q159*H159</f>
        <v>0</v>
      </c>
      <c r="S159" s="145">
        <v>0</v>
      </c>
      <c r="T159" s="146">
        <f>S159*H159</f>
        <v>0</v>
      </c>
      <c r="U159" s="31"/>
      <c r="V159" s="31"/>
      <c r="W159" s="31"/>
      <c r="X159" s="31"/>
      <c r="Y159" s="31"/>
      <c r="Z159" s="31"/>
      <c r="AA159" s="31"/>
      <c r="AB159" s="31"/>
      <c r="AC159" s="31"/>
      <c r="AD159" s="31"/>
      <c r="AE159" s="31"/>
      <c r="AR159" s="147" t="s">
        <v>200</v>
      </c>
      <c r="AT159" s="147" t="s">
        <v>141</v>
      </c>
      <c r="AU159" s="147" t="s">
        <v>82</v>
      </c>
      <c r="AY159" s="19" t="s">
        <v>138</v>
      </c>
      <c r="BE159" s="148">
        <f>IF(N159="základní",J159,0)</f>
        <v>0</v>
      </c>
      <c r="BF159" s="148">
        <f>IF(N159="snížená",J159,0)</f>
        <v>0</v>
      </c>
      <c r="BG159" s="148">
        <f>IF(N159="zákl. přenesená",J159,0)</f>
        <v>0</v>
      </c>
      <c r="BH159" s="148">
        <f>IF(N159="sníž. přenesená",J159,0)</f>
        <v>0</v>
      </c>
      <c r="BI159" s="148">
        <f>IF(N159="nulová",J159,0)</f>
        <v>0</v>
      </c>
      <c r="BJ159" s="19" t="s">
        <v>80</v>
      </c>
      <c r="BK159" s="148">
        <f>ROUND(I159*H159,2)</f>
        <v>0</v>
      </c>
      <c r="BL159" s="19" t="s">
        <v>200</v>
      </c>
      <c r="BM159" s="147" t="s">
        <v>1064</v>
      </c>
    </row>
    <row r="160" spans="1:65" s="2" customFormat="1" ht="126.75">
      <c r="A160" s="31"/>
      <c r="B160" s="32"/>
      <c r="C160" s="31"/>
      <c r="D160" s="150" t="s">
        <v>149</v>
      </c>
      <c r="E160" s="31"/>
      <c r="F160" s="163" t="s">
        <v>392</v>
      </c>
      <c r="G160" s="31"/>
      <c r="H160" s="31"/>
      <c r="I160" s="31"/>
      <c r="J160" s="31"/>
      <c r="K160" s="31"/>
      <c r="L160" s="32"/>
      <c r="M160" s="164"/>
      <c r="N160" s="165"/>
      <c r="O160" s="52"/>
      <c r="P160" s="52"/>
      <c r="Q160" s="52"/>
      <c r="R160" s="52"/>
      <c r="S160" s="52"/>
      <c r="T160" s="53"/>
      <c r="U160" s="31"/>
      <c r="V160" s="31"/>
      <c r="W160" s="31"/>
      <c r="X160" s="31"/>
      <c r="Y160" s="31"/>
      <c r="Z160" s="31"/>
      <c r="AA160" s="31"/>
      <c r="AB160" s="31"/>
      <c r="AC160" s="31"/>
      <c r="AD160" s="31"/>
      <c r="AE160" s="31"/>
      <c r="AT160" s="19" t="s">
        <v>149</v>
      </c>
      <c r="AU160" s="19" t="s">
        <v>82</v>
      </c>
    </row>
    <row r="161" spans="1:65" s="2" customFormat="1" ht="49.15" customHeight="1">
      <c r="A161" s="31"/>
      <c r="B161" s="136"/>
      <c r="C161" s="137" t="s">
        <v>213</v>
      </c>
      <c r="D161" s="137" t="s">
        <v>141</v>
      </c>
      <c r="E161" s="138" t="s">
        <v>1065</v>
      </c>
      <c r="F161" s="139" t="s">
        <v>1066</v>
      </c>
      <c r="G161" s="140" t="s">
        <v>308</v>
      </c>
      <c r="H161" s="141">
        <f>H159</f>
        <v>0</v>
      </c>
      <c r="I161" s="142"/>
      <c r="J161" s="142">
        <f>ROUND(I161*H161,2)</f>
        <v>0</v>
      </c>
      <c r="K161" s="139" t="s">
        <v>148</v>
      </c>
      <c r="L161" s="32"/>
      <c r="M161" s="143" t="s">
        <v>3</v>
      </c>
      <c r="N161" s="144" t="s">
        <v>43</v>
      </c>
      <c r="O161" s="145">
        <v>0</v>
      </c>
      <c r="P161" s="145">
        <f>O161*H161</f>
        <v>0</v>
      </c>
      <c r="Q161" s="145">
        <v>0</v>
      </c>
      <c r="R161" s="145">
        <f>Q161*H161</f>
        <v>0</v>
      </c>
      <c r="S161" s="145">
        <v>0</v>
      </c>
      <c r="T161" s="146">
        <f>S161*H161</f>
        <v>0</v>
      </c>
      <c r="U161" s="31"/>
      <c r="V161" s="31"/>
      <c r="W161" s="31"/>
      <c r="X161" s="31"/>
      <c r="Y161" s="31"/>
      <c r="Z161" s="31"/>
      <c r="AA161" s="31"/>
      <c r="AB161" s="31"/>
      <c r="AC161" s="31"/>
      <c r="AD161" s="31"/>
      <c r="AE161" s="31"/>
      <c r="AR161" s="147" t="s">
        <v>200</v>
      </c>
      <c r="AT161" s="147" t="s">
        <v>141</v>
      </c>
      <c r="AU161" s="147" t="s">
        <v>82</v>
      </c>
      <c r="AY161" s="19" t="s">
        <v>138</v>
      </c>
      <c r="BE161" s="148">
        <f>IF(N161="základní",J161,0)</f>
        <v>0</v>
      </c>
      <c r="BF161" s="148">
        <f>IF(N161="snížená",J161,0)</f>
        <v>0</v>
      </c>
      <c r="BG161" s="148">
        <f>IF(N161="zákl. přenesená",J161,0)</f>
        <v>0</v>
      </c>
      <c r="BH161" s="148">
        <f>IF(N161="sníž. přenesená",J161,0)</f>
        <v>0</v>
      </c>
      <c r="BI161" s="148">
        <f>IF(N161="nulová",J161,0)</f>
        <v>0</v>
      </c>
      <c r="BJ161" s="19" t="s">
        <v>80</v>
      </c>
      <c r="BK161" s="148">
        <f>ROUND(I161*H161,2)</f>
        <v>0</v>
      </c>
      <c r="BL161" s="19" t="s">
        <v>200</v>
      </c>
      <c r="BM161" s="147" t="s">
        <v>1067</v>
      </c>
    </row>
    <row r="162" spans="1:65" s="2" customFormat="1" ht="126.75">
      <c r="A162" s="31"/>
      <c r="B162" s="32"/>
      <c r="C162" s="31"/>
      <c r="D162" s="150" t="s">
        <v>149</v>
      </c>
      <c r="E162" s="31"/>
      <c r="F162" s="163" t="s">
        <v>392</v>
      </c>
      <c r="G162" s="31"/>
      <c r="H162" s="31"/>
      <c r="I162" s="31"/>
      <c r="J162" s="31"/>
      <c r="K162" s="31"/>
      <c r="L162" s="32"/>
      <c r="M162" s="164"/>
      <c r="N162" s="165"/>
      <c r="O162" s="52"/>
      <c r="P162" s="52"/>
      <c r="Q162" s="52"/>
      <c r="R162" s="52"/>
      <c r="S162" s="52"/>
      <c r="T162" s="53"/>
      <c r="U162" s="31"/>
      <c r="V162" s="31"/>
      <c r="W162" s="31"/>
      <c r="X162" s="31"/>
      <c r="Y162" s="31"/>
      <c r="Z162" s="31"/>
      <c r="AA162" s="31"/>
      <c r="AB162" s="31"/>
      <c r="AC162" s="31"/>
      <c r="AD162" s="31"/>
      <c r="AE162" s="31"/>
      <c r="AT162" s="19" t="s">
        <v>149</v>
      </c>
      <c r="AU162" s="19" t="s">
        <v>82</v>
      </c>
    </row>
    <row r="163" spans="1:65" s="12" customFormat="1" ht="25.9" customHeight="1">
      <c r="B163" s="124"/>
      <c r="D163" s="125" t="s">
        <v>71</v>
      </c>
      <c r="E163" s="126" t="s">
        <v>742</v>
      </c>
      <c r="F163" s="126" t="s">
        <v>743</v>
      </c>
      <c r="J163" s="127">
        <f>BK163</f>
        <v>0</v>
      </c>
      <c r="L163" s="124"/>
      <c r="M163" s="128"/>
      <c r="N163" s="129"/>
      <c r="O163" s="129"/>
      <c r="P163" s="130">
        <f>SUM(P164:P167)</f>
        <v>16</v>
      </c>
      <c r="Q163" s="129"/>
      <c r="R163" s="130">
        <f>SUM(R164:R167)</f>
        <v>0</v>
      </c>
      <c r="S163" s="129"/>
      <c r="T163" s="131">
        <f>SUM(T164:T167)</f>
        <v>0</v>
      </c>
      <c r="AR163" s="125" t="s">
        <v>144</v>
      </c>
      <c r="AT163" s="132" t="s">
        <v>71</v>
      </c>
      <c r="AU163" s="132" t="s">
        <v>72</v>
      </c>
      <c r="AY163" s="125" t="s">
        <v>138</v>
      </c>
      <c r="BK163" s="133">
        <f>SUM(BK164:BK167)</f>
        <v>0</v>
      </c>
    </row>
    <row r="164" spans="1:65" s="2" customFormat="1" ht="24.2" customHeight="1">
      <c r="A164" s="31"/>
      <c r="B164" s="136"/>
      <c r="C164" s="137" t="s">
        <v>214</v>
      </c>
      <c r="D164" s="137" t="s">
        <v>141</v>
      </c>
      <c r="E164" s="138" t="s">
        <v>744</v>
      </c>
      <c r="F164" s="139" t="s">
        <v>745</v>
      </c>
      <c r="G164" s="140" t="s">
        <v>746</v>
      </c>
      <c r="H164" s="141">
        <v>8</v>
      </c>
      <c r="I164" s="142"/>
      <c r="J164" s="142">
        <f>ROUND(I164*H164,2)</f>
        <v>0</v>
      </c>
      <c r="K164" s="139" t="s">
        <v>148</v>
      </c>
      <c r="L164" s="32"/>
      <c r="M164" s="143" t="s">
        <v>3</v>
      </c>
      <c r="N164" s="144" t="s">
        <v>43</v>
      </c>
      <c r="O164" s="145">
        <v>1</v>
      </c>
      <c r="P164" s="145">
        <f>O164*H164</f>
        <v>8</v>
      </c>
      <c r="Q164" s="145">
        <v>0</v>
      </c>
      <c r="R164" s="145">
        <f>Q164*H164</f>
        <v>0</v>
      </c>
      <c r="S164" s="145">
        <v>0</v>
      </c>
      <c r="T164" s="146">
        <f>S164*H164</f>
        <v>0</v>
      </c>
      <c r="U164" s="31"/>
      <c r="V164" s="31"/>
      <c r="W164" s="31"/>
      <c r="X164" s="31"/>
      <c r="Y164" s="31"/>
      <c r="Z164" s="31"/>
      <c r="AA164" s="31"/>
      <c r="AB164" s="31"/>
      <c r="AC164" s="31"/>
      <c r="AD164" s="31"/>
      <c r="AE164" s="31"/>
      <c r="AR164" s="147" t="s">
        <v>747</v>
      </c>
      <c r="AT164" s="147" t="s">
        <v>141</v>
      </c>
      <c r="AU164" s="147" t="s">
        <v>80</v>
      </c>
      <c r="AY164" s="19" t="s">
        <v>138</v>
      </c>
      <c r="BE164" s="148">
        <f>IF(N164="základní",J164,0)</f>
        <v>0</v>
      </c>
      <c r="BF164" s="148">
        <f>IF(N164="snížená",J164,0)</f>
        <v>0</v>
      </c>
      <c r="BG164" s="148">
        <f>IF(N164="zákl. přenesená",J164,0)</f>
        <v>0</v>
      </c>
      <c r="BH164" s="148">
        <f>IF(N164="sníž. přenesená",J164,0)</f>
        <v>0</v>
      </c>
      <c r="BI164" s="148">
        <f>IF(N164="nulová",J164,0)</f>
        <v>0</v>
      </c>
      <c r="BJ164" s="19" t="s">
        <v>80</v>
      </c>
      <c r="BK164" s="148">
        <f>ROUND(I164*H164,2)</f>
        <v>0</v>
      </c>
      <c r="BL164" s="19" t="s">
        <v>747</v>
      </c>
      <c r="BM164" s="147" t="s">
        <v>1068</v>
      </c>
    </row>
    <row r="165" spans="1:65" s="2" customFormat="1" ht="19.5">
      <c r="A165" s="31"/>
      <c r="B165" s="32"/>
      <c r="C165" s="31"/>
      <c r="D165" s="150" t="s">
        <v>242</v>
      </c>
      <c r="E165" s="31"/>
      <c r="F165" s="163" t="s">
        <v>749</v>
      </c>
      <c r="G165" s="31"/>
      <c r="H165" s="31"/>
      <c r="I165" s="31"/>
      <c r="J165" s="31"/>
      <c r="K165" s="31"/>
      <c r="L165" s="32"/>
      <c r="M165" s="164"/>
      <c r="N165" s="165"/>
      <c r="O165" s="52"/>
      <c r="P165" s="52"/>
      <c r="Q165" s="52"/>
      <c r="R165" s="52"/>
      <c r="S165" s="52"/>
      <c r="T165" s="53"/>
      <c r="U165" s="31"/>
      <c r="V165" s="31"/>
      <c r="W165" s="31"/>
      <c r="X165" s="31"/>
      <c r="Y165" s="31"/>
      <c r="Z165" s="31"/>
      <c r="AA165" s="31"/>
      <c r="AB165" s="31"/>
      <c r="AC165" s="31"/>
      <c r="AD165" s="31"/>
      <c r="AE165" s="31"/>
      <c r="AT165" s="19" t="s">
        <v>242</v>
      </c>
      <c r="AU165" s="19" t="s">
        <v>80</v>
      </c>
    </row>
    <row r="166" spans="1:65" s="2" customFormat="1" ht="37.9" customHeight="1">
      <c r="A166" s="31"/>
      <c r="B166" s="136"/>
      <c r="C166" s="137" t="s">
        <v>220</v>
      </c>
      <c r="D166" s="137" t="s">
        <v>141</v>
      </c>
      <c r="E166" s="138" t="s">
        <v>1069</v>
      </c>
      <c r="F166" s="139" t="s">
        <v>1070</v>
      </c>
      <c r="G166" s="140" t="s">
        <v>746</v>
      </c>
      <c r="H166" s="141">
        <v>8</v>
      </c>
      <c r="I166" s="142"/>
      <c r="J166" s="142">
        <f>ROUND(I166*H166,2)</f>
        <v>0</v>
      </c>
      <c r="K166" s="139" t="s">
        <v>148</v>
      </c>
      <c r="L166" s="32"/>
      <c r="M166" s="143" t="s">
        <v>3</v>
      </c>
      <c r="N166" s="144" t="s">
        <v>43</v>
      </c>
      <c r="O166" s="145">
        <v>1</v>
      </c>
      <c r="P166" s="145">
        <f>O166*H166</f>
        <v>8</v>
      </c>
      <c r="Q166" s="145">
        <v>0</v>
      </c>
      <c r="R166" s="145">
        <f>Q166*H166</f>
        <v>0</v>
      </c>
      <c r="S166" s="145">
        <v>0</v>
      </c>
      <c r="T166" s="146">
        <f>S166*H166</f>
        <v>0</v>
      </c>
      <c r="U166" s="31"/>
      <c r="V166" s="31"/>
      <c r="W166" s="31"/>
      <c r="X166" s="31"/>
      <c r="Y166" s="31"/>
      <c r="Z166" s="31"/>
      <c r="AA166" s="31"/>
      <c r="AB166" s="31"/>
      <c r="AC166" s="31"/>
      <c r="AD166" s="31"/>
      <c r="AE166" s="31"/>
      <c r="AR166" s="147" t="s">
        <v>747</v>
      </c>
      <c r="AT166" s="147" t="s">
        <v>141</v>
      </c>
      <c r="AU166" s="147" t="s">
        <v>80</v>
      </c>
      <c r="AY166" s="19" t="s">
        <v>138</v>
      </c>
      <c r="BE166" s="148">
        <f>IF(N166="základní",J166,0)</f>
        <v>0</v>
      </c>
      <c r="BF166" s="148">
        <f>IF(N166="snížená",J166,0)</f>
        <v>0</v>
      </c>
      <c r="BG166" s="148">
        <f>IF(N166="zákl. přenesená",J166,0)</f>
        <v>0</v>
      </c>
      <c r="BH166" s="148">
        <f>IF(N166="sníž. přenesená",J166,0)</f>
        <v>0</v>
      </c>
      <c r="BI166" s="148">
        <f>IF(N166="nulová",J166,0)</f>
        <v>0</v>
      </c>
      <c r="BJ166" s="19" t="s">
        <v>80</v>
      </c>
      <c r="BK166" s="148">
        <f>ROUND(I166*H166,2)</f>
        <v>0</v>
      </c>
      <c r="BL166" s="19" t="s">
        <v>747</v>
      </c>
      <c r="BM166" s="147" t="s">
        <v>1071</v>
      </c>
    </row>
    <row r="167" spans="1:65" s="2" customFormat="1" ht="19.5">
      <c r="A167" s="31"/>
      <c r="B167" s="32"/>
      <c r="C167" s="31"/>
      <c r="D167" s="150" t="s">
        <v>242</v>
      </c>
      <c r="E167" s="31"/>
      <c r="F167" s="163" t="s">
        <v>1072</v>
      </c>
      <c r="G167" s="31"/>
      <c r="H167" s="31"/>
      <c r="I167" s="31"/>
      <c r="J167" s="31"/>
      <c r="K167" s="31"/>
      <c r="L167" s="32"/>
      <c r="M167" s="189"/>
      <c r="N167" s="190"/>
      <c r="O167" s="191"/>
      <c r="P167" s="191"/>
      <c r="Q167" s="191"/>
      <c r="R167" s="191"/>
      <c r="S167" s="191"/>
      <c r="T167" s="192"/>
      <c r="U167" s="31"/>
      <c r="V167" s="31"/>
      <c r="W167" s="31"/>
      <c r="X167" s="31"/>
      <c r="Y167" s="31"/>
      <c r="Z167" s="31"/>
      <c r="AA167" s="31"/>
      <c r="AB167" s="31"/>
      <c r="AC167" s="31"/>
      <c r="AD167" s="31"/>
      <c r="AE167" s="31"/>
      <c r="AT167" s="19" t="s">
        <v>242</v>
      </c>
      <c r="AU167" s="19" t="s">
        <v>80</v>
      </c>
    </row>
    <row r="168" spans="1:65" s="2" customFormat="1" ht="6.95" customHeight="1">
      <c r="A168" s="31"/>
      <c r="B168" s="41"/>
      <c r="C168" s="42"/>
      <c r="D168" s="42"/>
      <c r="E168" s="42"/>
      <c r="F168" s="42"/>
      <c r="G168" s="42"/>
      <c r="H168" s="42"/>
      <c r="I168" s="42"/>
      <c r="J168" s="42"/>
      <c r="K168" s="42"/>
      <c r="L168" s="32"/>
      <c r="M168" s="31"/>
      <c r="O168" s="31"/>
      <c r="P168" s="31"/>
      <c r="Q168" s="31"/>
      <c r="R168" s="31"/>
      <c r="S168" s="31"/>
      <c r="T168" s="31"/>
      <c r="U168" s="31"/>
      <c r="V168" s="31"/>
      <c r="W168" s="31"/>
      <c r="X168" s="31"/>
      <c r="Y168" s="31"/>
      <c r="Z168" s="31"/>
      <c r="AA168" s="31"/>
      <c r="AB168" s="31"/>
      <c r="AC168" s="31"/>
      <c r="AD168" s="31"/>
      <c r="AE168" s="31"/>
    </row>
  </sheetData>
  <autoFilter ref="C87:K167" xr:uid="{00000000-0009-0000-0000-000005000000}"/>
  <mergeCells count="9">
    <mergeCell ref="E50:H50"/>
    <mergeCell ref="E78:H78"/>
    <mergeCell ref="E80:H80"/>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rowBreaks count="1" manualBreakCount="1">
    <brk id="111" min="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93"/>
  <sheetViews>
    <sheetView showGridLines="0" view="pageBreakPreview" topLeftCell="A89" zoomScaleNormal="80" zoomScaleSheetLayoutView="100" workbookViewId="0">
      <selection activeCell="I85" sqref="I85:I9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52" t="s">
        <v>6</v>
      </c>
      <c r="M2" s="346"/>
      <c r="N2" s="346"/>
      <c r="O2" s="346"/>
      <c r="P2" s="346"/>
      <c r="Q2" s="346"/>
      <c r="R2" s="346"/>
      <c r="S2" s="346"/>
      <c r="T2" s="346"/>
      <c r="U2" s="346"/>
      <c r="V2" s="346"/>
      <c r="AT2" s="19" t="s">
        <v>97</v>
      </c>
    </row>
    <row r="3" spans="1:46" s="1" customFormat="1" ht="6.95" customHeight="1">
      <c r="B3" s="20"/>
      <c r="C3" s="21"/>
      <c r="D3" s="21"/>
      <c r="E3" s="21"/>
      <c r="F3" s="21"/>
      <c r="G3" s="21"/>
      <c r="H3" s="21"/>
      <c r="I3" s="21"/>
      <c r="J3" s="21"/>
      <c r="K3" s="21"/>
      <c r="L3" s="22"/>
      <c r="AT3" s="19" t="s">
        <v>82</v>
      </c>
    </row>
    <row r="4" spans="1:46" s="1" customFormat="1" ht="24.95" customHeight="1">
      <c r="B4" s="22"/>
      <c r="D4" s="23" t="s">
        <v>101</v>
      </c>
      <c r="L4" s="22"/>
      <c r="M4" s="88" t="s">
        <v>11</v>
      </c>
      <c r="AT4" s="19" t="s">
        <v>4</v>
      </c>
    </row>
    <row r="5" spans="1:46" s="1" customFormat="1" ht="6.95" customHeight="1">
      <c r="B5" s="22"/>
      <c r="L5" s="22"/>
    </row>
    <row r="6" spans="1:46" s="1" customFormat="1" ht="12" customHeight="1">
      <c r="B6" s="22"/>
      <c r="D6" s="28" t="s">
        <v>14</v>
      </c>
      <c r="L6" s="22"/>
    </row>
    <row r="7" spans="1:46" s="1" customFormat="1" ht="23.25" customHeight="1">
      <c r="B7" s="22"/>
      <c r="E7" s="358" t="str">
        <f>'Rekapitulace stavby'!K6</f>
        <v>Rekonstrukce objektu vrátnice a areálu Nemocnice Nymburk s.r.o. , objekt na č.parc. 323, k.ú. Nymburk</v>
      </c>
      <c r="F7" s="359"/>
      <c r="G7" s="359"/>
      <c r="H7" s="359"/>
      <c r="L7" s="22"/>
    </row>
    <row r="8" spans="1:46" s="2" customFormat="1" ht="12" customHeight="1">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4" t="s">
        <v>1073</v>
      </c>
      <c r="F9" s="357"/>
      <c r="G9" s="357"/>
      <c r="H9" s="357"/>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45" t="str">
        <f>'Rekapitulace stavby'!E14</f>
        <v xml:space="preserve"> </v>
      </c>
      <c r="F18" s="345"/>
      <c r="G18" s="345"/>
      <c r="H18" s="345"/>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48" t="s">
        <v>37</v>
      </c>
      <c r="F27" s="348"/>
      <c r="G27" s="348"/>
      <c r="H27" s="348"/>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38</v>
      </c>
      <c r="E30" s="31"/>
      <c r="F30" s="31"/>
      <c r="G30" s="31"/>
      <c r="H30" s="31"/>
      <c r="I30" s="31"/>
      <c r="J30" s="65">
        <f>ROUND(J82,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42</v>
      </c>
      <c r="E33" s="28" t="s">
        <v>43</v>
      </c>
      <c r="F33" s="95">
        <f>ROUND((SUM(BE82:BE92)),  2)</f>
        <v>0</v>
      </c>
      <c r="G33" s="31"/>
      <c r="H33" s="31"/>
      <c r="I33" s="96">
        <v>0.21</v>
      </c>
      <c r="J33" s="95">
        <f>ROUND(((SUM(BE82:BE92))*I33),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44</v>
      </c>
      <c r="F34" s="95">
        <f>ROUND((SUM(BF82:BF92)),  2)</f>
        <v>0</v>
      </c>
      <c r="G34" s="31"/>
      <c r="H34" s="31"/>
      <c r="I34" s="96">
        <v>0.15</v>
      </c>
      <c r="J34" s="95">
        <f>ROUND(((SUM(BF82:BF92))*I34),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45</v>
      </c>
      <c r="F35" s="95">
        <f>ROUND((SUM(BG82:BG92)),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46</v>
      </c>
      <c r="F36" s="95">
        <f>ROUND((SUM(BH82:BH92)),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47</v>
      </c>
      <c r="F37" s="95">
        <f>ROUND((SUM(BI82:BI92)),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58" t="str">
        <f>E7</f>
        <v>Rekonstrukce objektu vrátnice a areálu Nemocnice Nymburk s.r.o. , objekt na č.parc. 323, k.ú. Nymburk</v>
      </c>
      <c r="F48" s="359"/>
      <c r="G48" s="359"/>
      <c r="H48" s="359"/>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4" t="str">
        <f>E9</f>
        <v>06 - Interiérové vybavení</v>
      </c>
      <c r="F50" s="357"/>
      <c r="G50" s="357"/>
      <c r="H50" s="357"/>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28</v>
      </c>
      <c r="D55" s="31"/>
      <c r="E55" s="31"/>
      <c r="F55" s="26" t="str">
        <f>IF(E18="","",E18)</f>
        <v xml:space="preserve"> </v>
      </c>
      <c r="G55" s="31"/>
      <c r="H55" s="31"/>
      <c r="I55" s="28" t="s">
        <v>35</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70</v>
      </c>
      <c r="D59" s="31"/>
      <c r="E59" s="31"/>
      <c r="F59" s="31"/>
      <c r="G59" s="31"/>
      <c r="H59" s="31"/>
      <c r="I59" s="31"/>
      <c r="J59" s="65">
        <f>J82</f>
        <v>0</v>
      </c>
      <c r="K59" s="31"/>
      <c r="L59" s="89"/>
      <c r="S59" s="31"/>
      <c r="T59" s="31"/>
      <c r="U59" s="31"/>
      <c r="V59" s="31"/>
      <c r="W59" s="31"/>
      <c r="X59" s="31"/>
      <c r="Y59" s="31"/>
      <c r="Z59" s="31"/>
      <c r="AA59" s="31"/>
      <c r="AB59" s="31"/>
      <c r="AC59" s="31"/>
      <c r="AD59" s="31"/>
      <c r="AE59" s="31"/>
      <c r="AU59" s="19" t="s">
        <v>107</v>
      </c>
    </row>
    <row r="60" spans="1:47" s="9" customFormat="1" ht="24.95" customHeight="1">
      <c r="B60" s="106"/>
      <c r="D60" s="107" t="s">
        <v>114</v>
      </c>
      <c r="E60" s="108"/>
      <c r="F60" s="108"/>
      <c r="G60" s="108"/>
      <c r="H60" s="108"/>
      <c r="I60" s="108"/>
      <c r="J60" s="109">
        <f>J83</f>
        <v>0</v>
      </c>
      <c r="L60" s="106"/>
    </row>
    <row r="61" spans="1:47" s="10" customFormat="1" ht="19.899999999999999" customHeight="1">
      <c r="B61" s="110"/>
      <c r="D61" s="111" t="s">
        <v>116</v>
      </c>
      <c r="E61" s="112"/>
      <c r="F61" s="112"/>
      <c r="G61" s="112"/>
      <c r="H61" s="112"/>
      <c r="I61" s="112"/>
      <c r="J61" s="113">
        <f>J84</f>
        <v>0</v>
      </c>
      <c r="L61" s="110"/>
    </row>
    <row r="62" spans="1:47" s="10" customFormat="1" ht="19.899999999999999" customHeight="1">
      <c r="B62" s="110"/>
      <c r="D62" s="111" t="s">
        <v>117</v>
      </c>
      <c r="E62" s="112"/>
      <c r="F62" s="112"/>
      <c r="G62" s="112"/>
      <c r="H62" s="112"/>
      <c r="I62" s="112"/>
      <c r="J62" s="113" t="e">
        <f>#REF!</f>
        <v>#REF!</v>
      </c>
      <c r="L62" s="110"/>
    </row>
    <row r="63" spans="1:47" s="2" customFormat="1" ht="21.75" customHeight="1">
      <c r="A63" s="31"/>
      <c r="B63" s="32"/>
      <c r="C63" s="31"/>
      <c r="D63" s="31"/>
      <c r="E63" s="31"/>
      <c r="F63" s="31"/>
      <c r="G63" s="31"/>
      <c r="H63" s="31"/>
      <c r="I63" s="31"/>
      <c r="J63" s="31"/>
      <c r="K63" s="31"/>
      <c r="L63" s="89"/>
      <c r="S63" s="31"/>
      <c r="T63" s="31"/>
      <c r="U63" s="31"/>
      <c r="V63" s="31"/>
      <c r="W63" s="31"/>
      <c r="X63" s="31"/>
      <c r="Y63" s="31"/>
      <c r="Z63" s="31"/>
      <c r="AA63" s="31"/>
      <c r="AB63" s="31"/>
      <c r="AC63" s="31"/>
      <c r="AD63" s="31"/>
      <c r="AE63" s="31"/>
    </row>
    <row r="64" spans="1:47" s="2" customFormat="1" ht="6.95" customHeight="1">
      <c r="A64" s="31"/>
      <c r="B64" s="41"/>
      <c r="C64" s="42"/>
      <c r="D64" s="42"/>
      <c r="E64" s="42"/>
      <c r="F64" s="42"/>
      <c r="G64" s="42"/>
      <c r="H64" s="42"/>
      <c r="I64" s="42"/>
      <c r="J64" s="42"/>
      <c r="K64" s="42"/>
      <c r="L64" s="89"/>
      <c r="S64" s="31"/>
      <c r="T64" s="31"/>
      <c r="U64" s="31"/>
      <c r="V64" s="31"/>
      <c r="W64" s="31"/>
      <c r="X64" s="31"/>
      <c r="Y64" s="31"/>
      <c r="Z64" s="31"/>
      <c r="AA64" s="31"/>
      <c r="AB64" s="31"/>
      <c r="AC64" s="31"/>
      <c r="AD64" s="31"/>
      <c r="AE64" s="31"/>
    </row>
    <row r="68" spans="1:31" s="2" customFormat="1" ht="6.95" customHeight="1">
      <c r="A68" s="31"/>
      <c r="B68" s="43"/>
      <c r="C68" s="44"/>
      <c r="D68" s="44"/>
      <c r="E68" s="44"/>
      <c r="F68" s="44"/>
      <c r="G68" s="44"/>
      <c r="H68" s="44"/>
      <c r="I68" s="44"/>
      <c r="J68" s="44"/>
      <c r="K68" s="44"/>
      <c r="L68" s="89"/>
      <c r="S68" s="31"/>
      <c r="T68" s="31"/>
      <c r="U68" s="31"/>
      <c r="V68" s="31"/>
      <c r="W68" s="31"/>
      <c r="X68" s="31"/>
      <c r="Y68" s="31"/>
      <c r="Z68" s="31"/>
      <c r="AA68" s="31"/>
      <c r="AB68" s="31"/>
      <c r="AC68" s="31"/>
      <c r="AD68" s="31"/>
      <c r="AE68" s="31"/>
    </row>
    <row r="69" spans="1:31" s="2" customFormat="1" ht="24.95" customHeight="1">
      <c r="A69" s="31"/>
      <c r="B69" s="32"/>
      <c r="C69" s="23" t="s">
        <v>123</v>
      </c>
      <c r="D69" s="31"/>
      <c r="E69" s="31"/>
      <c r="F69" s="31"/>
      <c r="G69" s="31"/>
      <c r="H69" s="31"/>
      <c r="I69" s="31"/>
      <c r="J69" s="31"/>
      <c r="K69" s="31"/>
      <c r="L69" s="89"/>
      <c r="S69" s="31"/>
      <c r="T69" s="31"/>
      <c r="U69" s="31"/>
      <c r="V69" s="31"/>
      <c r="W69" s="31"/>
      <c r="X69" s="31"/>
      <c r="Y69" s="31"/>
      <c r="Z69" s="31"/>
      <c r="AA69" s="31"/>
      <c r="AB69" s="31"/>
      <c r="AC69" s="31"/>
      <c r="AD69" s="31"/>
      <c r="AE69" s="31"/>
    </row>
    <row r="70" spans="1:31" s="2" customFormat="1" ht="6.95" customHeight="1">
      <c r="A70" s="31"/>
      <c r="B70" s="32"/>
      <c r="C70" s="31"/>
      <c r="D70" s="31"/>
      <c r="E70" s="31"/>
      <c r="F70" s="31"/>
      <c r="G70" s="31"/>
      <c r="H70" s="31"/>
      <c r="I70" s="31"/>
      <c r="J70" s="31"/>
      <c r="K70" s="31"/>
      <c r="L70" s="89"/>
      <c r="S70" s="31"/>
      <c r="T70" s="31"/>
      <c r="U70" s="31"/>
      <c r="V70" s="31"/>
      <c r="W70" s="31"/>
      <c r="X70" s="31"/>
      <c r="Y70" s="31"/>
      <c r="Z70" s="31"/>
      <c r="AA70" s="31"/>
      <c r="AB70" s="31"/>
      <c r="AC70" s="31"/>
      <c r="AD70" s="31"/>
      <c r="AE70" s="31"/>
    </row>
    <row r="71" spans="1:31" s="2" customFormat="1" ht="12" customHeight="1">
      <c r="A71" s="31"/>
      <c r="B71" s="32"/>
      <c r="C71" s="28" t="s">
        <v>14</v>
      </c>
      <c r="D71" s="31"/>
      <c r="E71" s="31"/>
      <c r="F71" s="31"/>
      <c r="G71" s="31"/>
      <c r="H71" s="31"/>
      <c r="I71" s="31"/>
      <c r="J71" s="31"/>
      <c r="K71" s="31"/>
      <c r="L71" s="89"/>
      <c r="S71" s="31"/>
      <c r="T71" s="31"/>
      <c r="U71" s="31"/>
      <c r="V71" s="31"/>
      <c r="W71" s="31"/>
      <c r="X71" s="31"/>
      <c r="Y71" s="31"/>
      <c r="Z71" s="31"/>
      <c r="AA71" s="31"/>
      <c r="AB71" s="31"/>
      <c r="AC71" s="31"/>
      <c r="AD71" s="31"/>
      <c r="AE71" s="31"/>
    </row>
    <row r="72" spans="1:31" s="2" customFormat="1" ht="23.25" customHeight="1">
      <c r="A72" s="31"/>
      <c r="B72" s="32"/>
      <c r="C72" s="31"/>
      <c r="D72" s="31"/>
      <c r="E72" s="358" t="str">
        <f>E7</f>
        <v>Rekonstrukce objektu vrátnice a areálu Nemocnice Nymburk s.r.o. , objekt na č.parc. 323, k.ú. Nymburk</v>
      </c>
      <c r="F72" s="359"/>
      <c r="G72" s="359"/>
      <c r="H72" s="359"/>
      <c r="I72" s="31"/>
      <c r="J72" s="31"/>
      <c r="K72" s="31"/>
      <c r="L72" s="89"/>
      <c r="S72" s="31"/>
      <c r="T72" s="31"/>
      <c r="U72" s="31"/>
      <c r="V72" s="31"/>
      <c r="W72" s="31"/>
      <c r="X72" s="31"/>
      <c r="Y72" s="31"/>
      <c r="Z72" s="31"/>
      <c r="AA72" s="31"/>
      <c r="AB72" s="31"/>
      <c r="AC72" s="31"/>
      <c r="AD72" s="31"/>
      <c r="AE72" s="31"/>
    </row>
    <row r="73" spans="1:31" s="2" customFormat="1" ht="12" customHeight="1">
      <c r="A73" s="31"/>
      <c r="B73" s="32"/>
      <c r="C73" s="28" t="s">
        <v>102</v>
      </c>
      <c r="D73" s="31"/>
      <c r="E73" s="31"/>
      <c r="F73" s="31"/>
      <c r="G73" s="31"/>
      <c r="H73" s="31"/>
      <c r="I73" s="31"/>
      <c r="J73" s="31"/>
      <c r="K73" s="31"/>
      <c r="L73" s="89"/>
      <c r="S73" s="31"/>
      <c r="T73" s="31"/>
      <c r="U73" s="31"/>
      <c r="V73" s="31"/>
      <c r="W73" s="31"/>
      <c r="X73" s="31"/>
      <c r="Y73" s="31"/>
      <c r="Z73" s="31"/>
      <c r="AA73" s="31"/>
      <c r="AB73" s="31"/>
      <c r="AC73" s="31"/>
      <c r="AD73" s="31"/>
      <c r="AE73" s="31"/>
    </row>
    <row r="74" spans="1:31" s="2" customFormat="1" ht="16.5" customHeight="1">
      <c r="A74" s="31"/>
      <c r="B74" s="32"/>
      <c r="C74" s="31"/>
      <c r="D74" s="31"/>
      <c r="E74" s="324" t="str">
        <f>E9</f>
        <v>06 - Interiérové vybavení</v>
      </c>
      <c r="F74" s="357"/>
      <c r="G74" s="357"/>
      <c r="H74" s="357"/>
      <c r="I74" s="31"/>
      <c r="J74" s="31"/>
      <c r="K74" s="31"/>
      <c r="L74" s="89"/>
      <c r="S74" s="31"/>
      <c r="T74" s="31"/>
      <c r="U74" s="31"/>
      <c r="V74" s="31"/>
      <c r="W74" s="31"/>
      <c r="X74" s="31"/>
      <c r="Y74" s="31"/>
      <c r="Z74" s="31"/>
      <c r="AA74" s="31"/>
      <c r="AB74" s="31"/>
      <c r="AC74" s="31"/>
      <c r="AD74" s="31"/>
      <c r="AE74" s="31"/>
    </row>
    <row r="75" spans="1:31" s="2" customFormat="1" ht="6.95" customHeight="1">
      <c r="A75" s="31"/>
      <c r="B75" s="32"/>
      <c r="C75" s="31"/>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12" customHeight="1">
      <c r="A76" s="31"/>
      <c r="B76" s="32"/>
      <c r="C76" s="28" t="s">
        <v>19</v>
      </c>
      <c r="D76" s="31"/>
      <c r="E76" s="31"/>
      <c r="F76" s="26" t="str">
        <f>F12</f>
        <v>Nymburk</v>
      </c>
      <c r="G76" s="31"/>
      <c r="H76" s="31"/>
      <c r="I76" s="28" t="s">
        <v>21</v>
      </c>
      <c r="J76" s="49">
        <f>IF(J12="","",J12)</f>
        <v>44144</v>
      </c>
      <c r="K76" s="31"/>
      <c r="L76" s="89"/>
      <c r="S76" s="31"/>
      <c r="T76" s="31"/>
      <c r="U76" s="31"/>
      <c r="V76" s="31"/>
      <c r="W76" s="31"/>
      <c r="X76" s="31"/>
      <c r="Y76" s="31"/>
      <c r="Z76" s="31"/>
      <c r="AA76" s="31"/>
      <c r="AB76" s="31"/>
      <c r="AC76" s="31"/>
      <c r="AD76" s="31"/>
      <c r="AE76" s="31"/>
    </row>
    <row r="77" spans="1:31" s="2" customFormat="1" ht="6.95" customHeight="1">
      <c r="A77" s="31"/>
      <c r="B77" s="32"/>
      <c r="C77" s="31"/>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25.7" customHeight="1">
      <c r="A78" s="31"/>
      <c r="B78" s="32"/>
      <c r="C78" s="28" t="s">
        <v>22</v>
      </c>
      <c r="D78" s="31"/>
      <c r="E78" s="31"/>
      <c r="F78" s="26" t="str">
        <f>E15</f>
        <v>Nemocnice Nymburk s.r.o.</v>
      </c>
      <c r="G78" s="31"/>
      <c r="H78" s="31"/>
      <c r="I78" s="28" t="s">
        <v>30</v>
      </c>
      <c r="J78" s="29" t="str">
        <f>E21</f>
        <v>Ing. arch. Pavel Petrák</v>
      </c>
      <c r="K78" s="31"/>
      <c r="L78" s="89"/>
      <c r="S78" s="31"/>
      <c r="T78" s="31"/>
      <c r="U78" s="31"/>
      <c r="V78" s="31"/>
      <c r="W78" s="31"/>
      <c r="X78" s="31"/>
      <c r="Y78" s="31"/>
      <c r="Z78" s="31"/>
      <c r="AA78" s="31"/>
      <c r="AB78" s="31"/>
      <c r="AC78" s="31"/>
      <c r="AD78" s="31"/>
      <c r="AE78" s="31"/>
    </row>
    <row r="79" spans="1:31" s="2" customFormat="1" ht="15.2" customHeight="1">
      <c r="A79" s="31"/>
      <c r="B79" s="32"/>
      <c r="C79" s="28" t="s">
        <v>28</v>
      </c>
      <c r="D79" s="31"/>
      <c r="E79" s="31"/>
      <c r="F79" s="26" t="str">
        <f>IF(E18="","",E18)</f>
        <v xml:space="preserve"> </v>
      </c>
      <c r="G79" s="31"/>
      <c r="H79" s="31"/>
      <c r="I79" s="28" t="s">
        <v>35</v>
      </c>
      <c r="J79" s="29" t="str">
        <f>E24</f>
        <v xml:space="preserve"> </v>
      </c>
      <c r="K79" s="31"/>
      <c r="L79" s="89"/>
      <c r="S79" s="31"/>
      <c r="T79" s="31"/>
      <c r="U79" s="31"/>
      <c r="V79" s="31"/>
      <c r="W79" s="31"/>
      <c r="X79" s="31"/>
      <c r="Y79" s="31"/>
      <c r="Z79" s="31"/>
      <c r="AA79" s="31"/>
      <c r="AB79" s="31"/>
      <c r="AC79" s="31"/>
      <c r="AD79" s="31"/>
      <c r="AE79" s="31"/>
    </row>
    <row r="80" spans="1:31" s="2" customFormat="1" ht="10.35" customHeight="1">
      <c r="A80" s="31"/>
      <c r="B80" s="32"/>
      <c r="C80" s="31"/>
      <c r="D80" s="31"/>
      <c r="E80" s="31"/>
      <c r="F80" s="31"/>
      <c r="G80" s="31"/>
      <c r="H80" s="31"/>
      <c r="I80" s="31"/>
      <c r="J80" s="31"/>
      <c r="K80" s="31"/>
      <c r="L80" s="89"/>
      <c r="S80" s="31"/>
      <c r="T80" s="31"/>
      <c r="U80" s="31"/>
      <c r="V80" s="31"/>
      <c r="W80" s="31"/>
      <c r="X80" s="31"/>
      <c r="Y80" s="31"/>
      <c r="Z80" s="31"/>
      <c r="AA80" s="31"/>
      <c r="AB80" s="31"/>
      <c r="AC80" s="31"/>
      <c r="AD80" s="31"/>
      <c r="AE80" s="31"/>
    </row>
    <row r="81" spans="1:65" s="11" customFormat="1" ht="29.25" customHeight="1">
      <c r="A81" s="114"/>
      <c r="B81" s="115"/>
      <c r="C81" s="116" t="s">
        <v>124</v>
      </c>
      <c r="D81" s="117" t="s">
        <v>57</v>
      </c>
      <c r="E81" s="117" t="s">
        <v>53</v>
      </c>
      <c r="F81" s="117" t="s">
        <v>54</v>
      </c>
      <c r="G81" s="117" t="s">
        <v>125</v>
      </c>
      <c r="H81" s="117" t="s">
        <v>126</v>
      </c>
      <c r="I81" s="117" t="s">
        <v>127</v>
      </c>
      <c r="J81" s="117" t="s">
        <v>106</v>
      </c>
      <c r="K81" s="118" t="s">
        <v>128</v>
      </c>
      <c r="L81" s="119"/>
      <c r="M81" s="56" t="s">
        <v>3</v>
      </c>
      <c r="N81" s="57" t="s">
        <v>42</v>
      </c>
      <c r="O81" s="57" t="s">
        <v>129</v>
      </c>
      <c r="P81" s="57" t="s">
        <v>130</v>
      </c>
      <c r="Q81" s="57" t="s">
        <v>131</v>
      </c>
      <c r="R81" s="57" t="s">
        <v>132</v>
      </c>
      <c r="S81" s="57" t="s">
        <v>133</v>
      </c>
      <c r="T81" s="58" t="s">
        <v>134</v>
      </c>
      <c r="U81" s="114"/>
      <c r="V81" s="114"/>
      <c r="W81" s="114"/>
      <c r="X81" s="114"/>
      <c r="Y81" s="114"/>
      <c r="Z81" s="114"/>
      <c r="AA81" s="114"/>
      <c r="AB81" s="114"/>
      <c r="AC81" s="114"/>
      <c r="AD81" s="114"/>
      <c r="AE81" s="114"/>
    </row>
    <row r="82" spans="1:65" s="2" customFormat="1" ht="22.9" customHeight="1">
      <c r="A82" s="31"/>
      <c r="B82" s="32"/>
      <c r="C82" s="63" t="s">
        <v>135</v>
      </c>
      <c r="D82" s="31"/>
      <c r="E82" s="31"/>
      <c r="F82" s="31"/>
      <c r="G82" s="31"/>
      <c r="H82" s="31"/>
      <c r="I82" s="31"/>
      <c r="J82" s="120">
        <f>J83</f>
        <v>0</v>
      </c>
      <c r="K82" s="31"/>
      <c r="L82" s="32"/>
      <c r="M82" s="59"/>
      <c r="N82" s="50"/>
      <c r="O82" s="60"/>
      <c r="P82" s="121" t="e">
        <f>P83</f>
        <v>#REF!</v>
      </c>
      <c r="Q82" s="60"/>
      <c r="R82" s="121" t="e">
        <f>R83</f>
        <v>#REF!</v>
      </c>
      <c r="S82" s="60"/>
      <c r="T82" s="122" t="e">
        <f>T83</f>
        <v>#REF!</v>
      </c>
      <c r="U82" s="31"/>
      <c r="V82" s="31"/>
      <c r="W82" s="31"/>
      <c r="X82" s="31"/>
      <c r="Y82" s="31"/>
      <c r="Z82" s="31"/>
      <c r="AA82" s="31"/>
      <c r="AB82" s="31"/>
      <c r="AC82" s="31"/>
      <c r="AD82" s="31"/>
      <c r="AE82" s="31"/>
      <c r="AT82" s="19" t="s">
        <v>71</v>
      </c>
      <c r="AU82" s="19" t="s">
        <v>107</v>
      </c>
      <c r="BK82" s="123" t="e">
        <f>BK83</f>
        <v>#REF!</v>
      </c>
    </row>
    <row r="83" spans="1:65" s="12" customFormat="1" ht="25.9" customHeight="1">
      <c r="B83" s="124"/>
      <c r="D83" s="125" t="s">
        <v>71</v>
      </c>
      <c r="E83" s="126" t="s">
        <v>291</v>
      </c>
      <c r="F83" s="126" t="s">
        <v>292</v>
      </c>
      <c r="J83" s="127">
        <f>J84</f>
        <v>0</v>
      </c>
      <c r="L83" s="124"/>
      <c r="M83" s="128"/>
      <c r="N83" s="129"/>
      <c r="O83" s="129"/>
      <c r="P83" s="130" t="e">
        <f>P84+#REF!</f>
        <v>#REF!</v>
      </c>
      <c r="Q83" s="129"/>
      <c r="R83" s="130" t="e">
        <f>R84+#REF!</f>
        <v>#REF!</v>
      </c>
      <c r="S83" s="129"/>
      <c r="T83" s="131" t="e">
        <f>T84+#REF!</f>
        <v>#REF!</v>
      </c>
      <c r="AR83" s="125" t="s">
        <v>82</v>
      </c>
      <c r="AT83" s="132" t="s">
        <v>71</v>
      </c>
      <c r="AU83" s="132" t="s">
        <v>72</v>
      </c>
      <c r="AY83" s="125" t="s">
        <v>138</v>
      </c>
      <c r="BK83" s="133" t="e">
        <f>BK84+#REF!</f>
        <v>#REF!</v>
      </c>
    </row>
    <row r="84" spans="1:65" s="12" customFormat="1" ht="22.9" customHeight="1">
      <c r="B84" s="124"/>
      <c r="D84" s="125" t="s">
        <v>71</v>
      </c>
      <c r="E84" s="134" t="s">
        <v>314</v>
      </c>
      <c r="F84" s="134" t="s">
        <v>315</v>
      </c>
      <c r="J84" s="135">
        <f>SUM(J85:J92)</f>
        <v>0</v>
      </c>
      <c r="L84" s="124"/>
      <c r="M84" s="128"/>
      <c r="N84" s="129"/>
      <c r="O84" s="129"/>
      <c r="P84" s="130">
        <f>SUM(P85:P92)</f>
        <v>0</v>
      </c>
      <c r="Q84" s="129"/>
      <c r="R84" s="130">
        <f>SUM(R85:R92)</f>
        <v>0</v>
      </c>
      <c r="S84" s="129"/>
      <c r="T84" s="131">
        <f>SUM(T85:T92)</f>
        <v>0</v>
      </c>
      <c r="AR84" s="125" t="s">
        <v>82</v>
      </c>
      <c r="AT84" s="132" t="s">
        <v>71</v>
      </c>
      <c r="AU84" s="132" t="s">
        <v>80</v>
      </c>
      <c r="AY84" s="125" t="s">
        <v>138</v>
      </c>
      <c r="BK84" s="133">
        <f>SUM(BK85:BK92)</f>
        <v>0</v>
      </c>
    </row>
    <row r="85" spans="1:65" s="2" customFormat="1" ht="79.5" customHeight="1">
      <c r="A85" s="31"/>
      <c r="B85" s="136"/>
      <c r="C85" s="137">
        <v>1</v>
      </c>
      <c r="D85" s="137" t="s">
        <v>141</v>
      </c>
      <c r="E85" s="138" t="s">
        <v>1300</v>
      </c>
      <c r="F85" s="139" t="s">
        <v>1302</v>
      </c>
      <c r="G85" s="140" t="s">
        <v>578</v>
      </c>
      <c r="H85" s="141">
        <v>1</v>
      </c>
      <c r="I85" s="142"/>
      <c r="J85" s="142">
        <f>ROUND(I85*H85,2)</f>
        <v>0</v>
      </c>
      <c r="K85" s="139" t="s">
        <v>143</v>
      </c>
      <c r="L85" s="32"/>
      <c r="M85" s="143" t="s">
        <v>3</v>
      </c>
      <c r="N85" s="144" t="s">
        <v>43</v>
      </c>
      <c r="O85" s="145">
        <v>0</v>
      </c>
      <c r="P85" s="145">
        <f>O85*H85</f>
        <v>0</v>
      </c>
      <c r="Q85" s="145">
        <v>0</v>
      </c>
      <c r="R85" s="145">
        <f>Q85*H85</f>
        <v>0</v>
      </c>
      <c r="S85" s="145">
        <v>0</v>
      </c>
      <c r="T85" s="146">
        <f>S85*H85</f>
        <v>0</v>
      </c>
      <c r="U85" s="31"/>
      <c r="V85" s="31"/>
      <c r="W85" s="31"/>
      <c r="X85" s="31"/>
      <c r="Y85" s="31"/>
      <c r="Z85" s="31"/>
      <c r="AA85" s="31"/>
      <c r="AB85" s="31"/>
      <c r="AC85" s="31"/>
      <c r="AD85" s="31"/>
      <c r="AE85" s="31"/>
      <c r="AR85" s="147" t="s">
        <v>200</v>
      </c>
      <c r="AT85" s="147" t="s">
        <v>141</v>
      </c>
      <c r="AU85" s="147" t="s">
        <v>82</v>
      </c>
      <c r="AY85" s="19" t="s">
        <v>138</v>
      </c>
      <c r="BE85" s="148">
        <f>IF(N85="základní",J85,0)</f>
        <v>0</v>
      </c>
      <c r="BF85" s="148">
        <f>IF(N85="snížená",J85,0)</f>
        <v>0</v>
      </c>
      <c r="BG85" s="148">
        <f>IF(N85="zákl. přenesená",J85,0)</f>
        <v>0</v>
      </c>
      <c r="BH85" s="148">
        <f>IF(N85="sníž. přenesená",J85,0)</f>
        <v>0</v>
      </c>
      <c r="BI85" s="148">
        <f>IF(N85="nulová",J85,0)</f>
        <v>0</v>
      </c>
      <c r="BJ85" s="19" t="s">
        <v>80</v>
      </c>
      <c r="BK85" s="148">
        <f>ROUND(I85*H85,2)</f>
        <v>0</v>
      </c>
      <c r="BL85" s="19" t="s">
        <v>200</v>
      </c>
      <c r="BM85" s="147" t="s">
        <v>1074</v>
      </c>
    </row>
    <row r="86" spans="1:65" s="2" customFormat="1" ht="29.25">
      <c r="A86" s="31"/>
      <c r="B86" s="32"/>
      <c r="C86" s="31"/>
      <c r="D86" s="150" t="s">
        <v>242</v>
      </c>
      <c r="E86" s="31"/>
      <c r="F86" s="163" t="s">
        <v>1075</v>
      </c>
      <c r="G86" s="31"/>
      <c r="H86" s="31"/>
      <c r="I86" s="31"/>
      <c r="J86" s="31"/>
      <c r="K86" s="31"/>
      <c r="L86" s="32"/>
      <c r="M86" s="164"/>
      <c r="N86" s="165"/>
      <c r="O86" s="52"/>
      <c r="P86" s="52"/>
      <c r="Q86" s="52"/>
      <c r="R86" s="52"/>
      <c r="S86" s="52"/>
      <c r="T86" s="53"/>
      <c r="U86" s="31"/>
      <c r="V86" s="31"/>
      <c r="W86" s="31"/>
      <c r="X86" s="31"/>
      <c r="Y86" s="31"/>
      <c r="Z86" s="31"/>
      <c r="AA86" s="31"/>
      <c r="AB86" s="31"/>
      <c r="AC86" s="31"/>
      <c r="AD86" s="31"/>
      <c r="AE86" s="31"/>
      <c r="AT86" s="19" t="s">
        <v>242</v>
      </c>
      <c r="AU86" s="19" t="s">
        <v>82</v>
      </c>
    </row>
    <row r="87" spans="1:65" s="2" customFormat="1" ht="140.25" customHeight="1">
      <c r="A87" s="31"/>
      <c r="B87" s="136"/>
      <c r="C87" s="137">
        <v>2</v>
      </c>
      <c r="D87" s="137" t="s">
        <v>141</v>
      </c>
      <c r="E87" s="138" t="s">
        <v>1301</v>
      </c>
      <c r="F87" s="139" t="s">
        <v>1303</v>
      </c>
      <c r="G87" s="140" t="s">
        <v>578</v>
      </c>
      <c r="H87" s="141">
        <v>1</v>
      </c>
      <c r="I87" s="142"/>
      <c r="J87" s="142">
        <f>ROUND(I87*H87,2)</f>
        <v>0</v>
      </c>
      <c r="K87" s="139" t="s">
        <v>143</v>
      </c>
      <c r="L87" s="32"/>
      <c r="M87" s="143" t="s">
        <v>3</v>
      </c>
      <c r="N87" s="144" t="s">
        <v>43</v>
      </c>
      <c r="O87" s="145">
        <v>0</v>
      </c>
      <c r="P87" s="145">
        <f>O87*H87</f>
        <v>0</v>
      </c>
      <c r="Q87" s="145">
        <v>0</v>
      </c>
      <c r="R87" s="145">
        <f>Q87*H87</f>
        <v>0</v>
      </c>
      <c r="S87" s="145">
        <v>0</v>
      </c>
      <c r="T87" s="146">
        <f>S87*H87</f>
        <v>0</v>
      </c>
      <c r="U87" s="31"/>
      <c r="V87" s="31"/>
      <c r="W87" s="31"/>
      <c r="X87" s="31"/>
      <c r="Y87" s="31"/>
      <c r="Z87" s="31"/>
      <c r="AA87" s="31"/>
      <c r="AB87" s="31"/>
      <c r="AC87" s="31"/>
      <c r="AD87" s="31"/>
      <c r="AE87" s="31"/>
      <c r="AR87" s="147" t="s">
        <v>200</v>
      </c>
      <c r="AT87" s="147" t="s">
        <v>141</v>
      </c>
      <c r="AU87" s="147" t="s">
        <v>82</v>
      </c>
      <c r="AY87" s="19" t="s">
        <v>138</v>
      </c>
      <c r="BE87" s="148">
        <f>IF(N87="základní",J87,0)</f>
        <v>0</v>
      </c>
      <c r="BF87" s="148">
        <f>IF(N87="snížená",J87,0)</f>
        <v>0</v>
      </c>
      <c r="BG87" s="148">
        <f>IF(N87="zákl. přenesená",J87,0)</f>
        <v>0</v>
      </c>
      <c r="BH87" s="148">
        <f>IF(N87="sníž. přenesená",J87,0)</f>
        <v>0</v>
      </c>
      <c r="BI87" s="148">
        <f>IF(N87="nulová",J87,0)</f>
        <v>0</v>
      </c>
      <c r="BJ87" s="19" t="s">
        <v>80</v>
      </c>
      <c r="BK87" s="148">
        <f>ROUND(I87*H87,2)</f>
        <v>0</v>
      </c>
      <c r="BL87" s="19" t="s">
        <v>200</v>
      </c>
      <c r="BM87" s="147" t="s">
        <v>1076</v>
      </c>
    </row>
    <row r="88" spans="1:65" s="2" customFormat="1" ht="29.25">
      <c r="A88" s="31"/>
      <c r="B88" s="32"/>
      <c r="C88" s="31"/>
      <c r="D88" s="150" t="s">
        <v>242</v>
      </c>
      <c r="E88" s="31"/>
      <c r="F88" s="163" t="s">
        <v>1077</v>
      </c>
      <c r="G88" s="31"/>
      <c r="H88" s="31"/>
      <c r="I88" s="31"/>
      <c r="J88" s="31"/>
      <c r="K88" s="31"/>
      <c r="L88" s="32"/>
      <c r="M88" s="164"/>
      <c r="N88" s="165"/>
      <c r="O88" s="52"/>
      <c r="P88" s="52"/>
      <c r="Q88" s="52"/>
      <c r="R88" s="52"/>
      <c r="S88" s="52"/>
      <c r="T88" s="53"/>
      <c r="U88" s="31"/>
      <c r="V88" s="31"/>
      <c r="W88" s="31"/>
      <c r="X88" s="31"/>
      <c r="Y88" s="31"/>
      <c r="Z88" s="31"/>
      <c r="AA88" s="31"/>
      <c r="AB88" s="31"/>
      <c r="AC88" s="31"/>
      <c r="AD88" s="31"/>
      <c r="AE88" s="31"/>
      <c r="AT88" s="19" t="s">
        <v>242</v>
      </c>
      <c r="AU88" s="19" t="s">
        <v>82</v>
      </c>
    </row>
    <row r="89" spans="1:65" s="2" customFormat="1" ht="37.9" customHeight="1">
      <c r="A89" s="31"/>
      <c r="B89" s="136"/>
      <c r="C89" s="137">
        <v>3</v>
      </c>
      <c r="D89" s="137" t="s">
        <v>141</v>
      </c>
      <c r="E89" s="138" t="s">
        <v>348</v>
      </c>
      <c r="F89" s="139" t="s">
        <v>349</v>
      </c>
      <c r="G89" s="140" t="s">
        <v>308</v>
      </c>
      <c r="H89" s="141">
        <f>(J85+J87)/100</f>
        <v>0</v>
      </c>
      <c r="I89" s="142"/>
      <c r="J89" s="142">
        <f>ROUND(I89*H89,2)</f>
        <v>0</v>
      </c>
      <c r="K89" s="139" t="s">
        <v>148</v>
      </c>
      <c r="L89" s="32"/>
      <c r="M89" s="143" t="s">
        <v>3</v>
      </c>
      <c r="N89" s="144" t="s">
        <v>43</v>
      </c>
      <c r="O89" s="145">
        <v>0</v>
      </c>
      <c r="P89" s="145">
        <f>O89*H89</f>
        <v>0</v>
      </c>
      <c r="Q89" s="145">
        <v>0</v>
      </c>
      <c r="R89" s="145">
        <f>Q89*H89</f>
        <v>0</v>
      </c>
      <c r="S89" s="145">
        <v>0</v>
      </c>
      <c r="T89" s="146">
        <f>S89*H89</f>
        <v>0</v>
      </c>
      <c r="U89" s="31"/>
      <c r="V89" s="148"/>
      <c r="W89" s="31"/>
      <c r="X89" s="31"/>
      <c r="Y89" s="31"/>
      <c r="Z89" s="31"/>
      <c r="AA89" s="31"/>
      <c r="AB89" s="31"/>
      <c r="AC89" s="31"/>
      <c r="AD89" s="31"/>
      <c r="AE89" s="31"/>
      <c r="AR89" s="147" t="s">
        <v>200</v>
      </c>
      <c r="AT89" s="147" t="s">
        <v>141</v>
      </c>
      <c r="AU89" s="147" t="s">
        <v>82</v>
      </c>
      <c r="AY89" s="19" t="s">
        <v>138</v>
      </c>
      <c r="BE89" s="148">
        <f>IF(N89="základní",J89,0)</f>
        <v>0</v>
      </c>
      <c r="BF89" s="148">
        <f>IF(N89="snížená",J89,0)</f>
        <v>0</v>
      </c>
      <c r="BG89" s="148">
        <f>IF(N89="zákl. přenesená",J89,0)</f>
        <v>0</v>
      </c>
      <c r="BH89" s="148">
        <f>IF(N89="sníž. přenesená",J89,0)</f>
        <v>0</v>
      </c>
      <c r="BI89" s="148">
        <f>IF(N89="nulová",J89,0)</f>
        <v>0</v>
      </c>
      <c r="BJ89" s="19" t="s">
        <v>80</v>
      </c>
      <c r="BK89" s="148">
        <f>ROUND(I89*H89,2)</f>
        <v>0</v>
      </c>
      <c r="BL89" s="19" t="s">
        <v>200</v>
      </c>
      <c r="BM89" s="147" t="s">
        <v>1078</v>
      </c>
    </row>
    <row r="90" spans="1:65" s="2" customFormat="1" ht="126.75">
      <c r="A90" s="31"/>
      <c r="B90" s="32"/>
      <c r="C90" s="31"/>
      <c r="D90" s="150" t="s">
        <v>149</v>
      </c>
      <c r="E90" s="31"/>
      <c r="F90" s="163" t="s">
        <v>351</v>
      </c>
      <c r="G90" s="31"/>
      <c r="H90" s="31"/>
      <c r="I90" s="31"/>
      <c r="J90" s="31"/>
      <c r="K90" s="31"/>
      <c r="L90" s="32"/>
      <c r="M90" s="164"/>
      <c r="N90" s="165"/>
      <c r="O90" s="52"/>
      <c r="P90" s="52"/>
      <c r="Q90" s="52"/>
      <c r="R90" s="52"/>
      <c r="S90" s="52"/>
      <c r="T90" s="53"/>
      <c r="U90" s="31"/>
      <c r="V90" s="31"/>
      <c r="W90" s="31"/>
      <c r="X90" s="31"/>
      <c r="Y90" s="31"/>
      <c r="Z90" s="31"/>
      <c r="AA90" s="31"/>
      <c r="AB90" s="31"/>
      <c r="AC90" s="31"/>
      <c r="AD90" s="31"/>
      <c r="AE90" s="31"/>
      <c r="AT90" s="19" t="s">
        <v>149</v>
      </c>
      <c r="AU90" s="19" t="s">
        <v>82</v>
      </c>
    </row>
    <row r="91" spans="1:65" s="2" customFormat="1" ht="49.15" customHeight="1">
      <c r="A91" s="31"/>
      <c r="B91" s="136"/>
      <c r="C91" s="137">
        <v>4</v>
      </c>
      <c r="D91" s="137" t="s">
        <v>141</v>
      </c>
      <c r="E91" s="138" t="s">
        <v>352</v>
      </c>
      <c r="F91" s="139" t="s">
        <v>353</v>
      </c>
      <c r="G91" s="140" t="s">
        <v>308</v>
      </c>
      <c r="H91" s="141">
        <f>H89</f>
        <v>0</v>
      </c>
      <c r="I91" s="142"/>
      <c r="J91" s="142">
        <f>ROUND(I91*H91,2)</f>
        <v>0</v>
      </c>
      <c r="K91" s="139" t="s">
        <v>148</v>
      </c>
      <c r="L91" s="32"/>
      <c r="M91" s="143" t="s">
        <v>3</v>
      </c>
      <c r="N91" s="144" t="s">
        <v>43</v>
      </c>
      <c r="O91" s="145">
        <v>0</v>
      </c>
      <c r="P91" s="145">
        <f>O91*H91</f>
        <v>0</v>
      </c>
      <c r="Q91" s="145">
        <v>0</v>
      </c>
      <c r="R91" s="145">
        <f>Q91*H91</f>
        <v>0</v>
      </c>
      <c r="S91" s="145">
        <v>0</v>
      </c>
      <c r="T91" s="146">
        <f>S91*H91</f>
        <v>0</v>
      </c>
      <c r="U91" s="31"/>
      <c r="V91" s="31"/>
      <c r="W91" s="31"/>
      <c r="X91" s="31"/>
      <c r="Y91" s="31"/>
      <c r="Z91" s="31"/>
      <c r="AA91" s="31"/>
      <c r="AB91" s="31"/>
      <c r="AC91" s="31"/>
      <c r="AD91" s="31"/>
      <c r="AE91" s="31"/>
      <c r="AR91" s="147" t="s">
        <v>200</v>
      </c>
      <c r="AT91" s="147" t="s">
        <v>141</v>
      </c>
      <c r="AU91" s="147" t="s">
        <v>82</v>
      </c>
      <c r="AY91" s="19" t="s">
        <v>138</v>
      </c>
      <c r="BE91" s="148">
        <f>IF(N91="základní",J91,0)</f>
        <v>0</v>
      </c>
      <c r="BF91" s="148">
        <f>IF(N91="snížená",J91,0)</f>
        <v>0</v>
      </c>
      <c r="BG91" s="148">
        <f>IF(N91="zákl. přenesená",J91,0)</f>
        <v>0</v>
      </c>
      <c r="BH91" s="148">
        <f>IF(N91="sníž. přenesená",J91,0)</f>
        <v>0</v>
      </c>
      <c r="BI91" s="148">
        <f>IF(N91="nulová",J91,0)</f>
        <v>0</v>
      </c>
      <c r="BJ91" s="19" t="s">
        <v>80</v>
      </c>
      <c r="BK91" s="148">
        <f>ROUND(I91*H91,2)</f>
        <v>0</v>
      </c>
      <c r="BL91" s="19" t="s">
        <v>200</v>
      </c>
      <c r="BM91" s="147" t="s">
        <v>1079</v>
      </c>
    </row>
    <row r="92" spans="1:65" s="2" customFormat="1" ht="126.75">
      <c r="A92" s="31"/>
      <c r="B92" s="32"/>
      <c r="C92" s="31"/>
      <c r="D92" s="150" t="s">
        <v>149</v>
      </c>
      <c r="E92" s="31"/>
      <c r="F92" s="163" t="s">
        <v>351</v>
      </c>
      <c r="G92" s="31"/>
      <c r="H92" s="31"/>
      <c r="I92" s="31"/>
      <c r="J92" s="31"/>
      <c r="K92" s="31"/>
      <c r="L92" s="32"/>
      <c r="M92" s="164"/>
      <c r="N92" s="165"/>
      <c r="O92" s="52"/>
      <c r="P92" s="52"/>
      <c r="Q92" s="52"/>
      <c r="R92" s="52"/>
      <c r="S92" s="52"/>
      <c r="T92" s="53"/>
      <c r="U92" s="31"/>
      <c r="V92" s="31"/>
      <c r="W92" s="31"/>
      <c r="X92" s="31"/>
      <c r="Y92" s="31"/>
      <c r="Z92" s="31"/>
      <c r="AA92" s="31"/>
      <c r="AB92" s="31"/>
      <c r="AC92" s="31"/>
      <c r="AD92" s="31"/>
      <c r="AE92" s="31"/>
      <c r="AT92" s="19" t="s">
        <v>149</v>
      </c>
      <c r="AU92" s="19" t="s">
        <v>82</v>
      </c>
    </row>
    <row r="93" spans="1:65" s="2" customFormat="1" ht="6.95" customHeight="1">
      <c r="A93" s="31"/>
      <c r="B93" s="41"/>
      <c r="C93" s="42"/>
      <c r="D93" s="42"/>
      <c r="E93" s="42"/>
      <c r="F93" s="42"/>
      <c r="G93" s="42"/>
      <c r="H93" s="42"/>
      <c r="I93" s="42"/>
      <c r="J93" s="42"/>
      <c r="K93" s="42"/>
      <c r="L93" s="32"/>
      <c r="M93" s="31"/>
      <c r="O93" s="31"/>
      <c r="P93" s="31"/>
      <c r="Q93" s="31"/>
      <c r="R93" s="31"/>
      <c r="S93" s="31"/>
      <c r="T93" s="31"/>
      <c r="U93" s="31"/>
      <c r="V93" s="31"/>
      <c r="W93" s="31"/>
      <c r="X93" s="31"/>
      <c r="Y93" s="31"/>
      <c r="Z93" s="31"/>
      <c r="AA93" s="31"/>
      <c r="AB93" s="31"/>
      <c r="AC93" s="31"/>
      <c r="AD93" s="31"/>
      <c r="AE93" s="31"/>
    </row>
  </sheetData>
  <autoFilter ref="C81:K92" xr:uid="{00000000-0009-0000-0000-000006000000}"/>
  <mergeCells count="9">
    <mergeCell ref="E50:H50"/>
    <mergeCell ref="E72:H72"/>
    <mergeCell ref="E74:H7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rowBreaks count="1" manualBreakCount="1">
    <brk id="90" min="2"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90"/>
  <sheetViews>
    <sheetView showGridLines="0" view="pageBreakPreview" topLeftCell="A38" zoomScale="60" workbookViewId="0">
      <selection activeCell="V88" sqref="V8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7"/>
    </row>
    <row r="2" spans="1:46" s="1" customFormat="1" ht="36.950000000000003" customHeight="1">
      <c r="L2" s="352" t="s">
        <v>6</v>
      </c>
      <c r="M2" s="346"/>
      <c r="N2" s="346"/>
      <c r="O2" s="346"/>
      <c r="P2" s="346"/>
      <c r="Q2" s="346"/>
      <c r="R2" s="346"/>
      <c r="S2" s="346"/>
      <c r="T2" s="346"/>
      <c r="U2" s="346"/>
      <c r="V2" s="346"/>
      <c r="AT2" s="19" t="s">
        <v>100</v>
      </c>
    </row>
    <row r="3" spans="1:46" s="1" customFormat="1" ht="6.95" customHeight="1">
      <c r="B3" s="20"/>
      <c r="C3" s="21"/>
      <c r="D3" s="21"/>
      <c r="E3" s="21"/>
      <c r="F3" s="21"/>
      <c r="G3" s="21"/>
      <c r="H3" s="21"/>
      <c r="I3" s="21"/>
      <c r="J3" s="21"/>
      <c r="K3" s="21"/>
      <c r="L3" s="22"/>
      <c r="AT3" s="19" t="s">
        <v>82</v>
      </c>
    </row>
    <row r="4" spans="1:46" s="1" customFormat="1" ht="24.95" customHeight="1">
      <c r="B4" s="22"/>
      <c r="D4" s="23" t="s">
        <v>101</v>
      </c>
      <c r="L4" s="22"/>
      <c r="M4" s="88" t="s">
        <v>11</v>
      </c>
      <c r="AT4" s="19" t="s">
        <v>4</v>
      </c>
    </row>
    <row r="5" spans="1:46" s="1" customFormat="1" ht="6.95" customHeight="1">
      <c r="B5" s="22"/>
      <c r="L5" s="22"/>
    </row>
    <row r="6" spans="1:46" s="1" customFormat="1" ht="12" customHeight="1">
      <c r="B6" s="22"/>
      <c r="D6" s="28" t="s">
        <v>14</v>
      </c>
      <c r="L6" s="22"/>
    </row>
    <row r="7" spans="1:46" s="1" customFormat="1" ht="23.25" customHeight="1">
      <c r="B7" s="22"/>
      <c r="E7" s="358" t="str">
        <f>'Rekapitulace stavby'!K6</f>
        <v>Rekonstrukce objektu vrátnice a areálu Nemocnice Nymburk s.r.o. , objekt na č.parc. 323, k.ú. Nymburk</v>
      </c>
      <c r="F7" s="359"/>
      <c r="G7" s="359"/>
      <c r="H7" s="359"/>
      <c r="L7" s="22"/>
    </row>
    <row r="8" spans="1:46" s="2" customFormat="1" ht="12" customHeight="1">
      <c r="A8" s="31"/>
      <c r="B8" s="32"/>
      <c r="C8" s="31"/>
      <c r="D8" s="28" t="s">
        <v>102</v>
      </c>
      <c r="E8" s="31"/>
      <c r="F8" s="31"/>
      <c r="G8" s="31"/>
      <c r="H8" s="31"/>
      <c r="I8" s="31"/>
      <c r="J8" s="31"/>
      <c r="K8" s="31"/>
      <c r="L8" s="89"/>
      <c r="S8" s="31"/>
      <c r="T8" s="31"/>
      <c r="U8" s="31"/>
      <c r="V8" s="31"/>
      <c r="W8" s="31"/>
      <c r="X8" s="31"/>
      <c r="Y8" s="31"/>
      <c r="Z8" s="31"/>
      <c r="AA8" s="31"/>
      <c r="AB8" s="31"/>
      <c r="AC8" s="31"/>
      <c r="AD8" s="31"/>
      <c r="AE8" s="31"/>
    </row>
    <row r="9" spans="1:46" s="2" customFormat="1" ht="16.5" customHeight="1">
      <c r="A9" s="31"/>
      <c r="B9" s="32"/>
      <c r="C9" s="31"/>
      <c r="D9" s="31"/>
      <c r="E9" s="324" t="s">
        <v>1080</v>
      </c>
      <c r="F9" s="357"/>
      <c r="G9" s="357"/>
      <c r="H9" s="357"/>
      <c r="I9" s="31"/>
      <c r="J9" s="31"/>
      <c r="K9" s="31"/>
      <c r="L9" s="89"/>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89"/>
      <c r="S10" s="31"/>
      <c r="T10" s="31"/>
      <c r="U10" s="31"/>
      <c r="V10" s="31"/>
      <c r="W10" s="31"/>
      <c r="X10" s="31"/>
      <c r="Y10" s="31"/>
      <c r="Z10" s="31"/>
      <c r="AA10" s="31"/>
      <c r="AB10" s="31"/>
      <c r="AC10" s="31"/>
      <c r="AD10" s="31"/>
      <c r="AE10" s="31"/>
    </row>
    <row r="11" spans="1:46" s="2" customFormat="1" ht="12" customHeight="1">
      <c r="A11" s="31"/>
      <c r="B11" s="32"/>
      <c r="C11" s="31"/>
      <c r="D11" s="28" t="s">
        <v>15</v>
      </c>
      <c r="E11" s="31"/>
      <c r="F11" s="26" t="s">
        <v>16</v>
      </c>
      <c r="G11" s="31"/>
      <c r="H11" s="31"/>
      <c r="I11" s="28" t="s">
        <v>17</v>
      </c>
      <c r="J11" s="26" t="s">
        <v>3</v>
      </c>
      <c r="K11" s="31"/>
      <c r="L11" s="89"/>
      <c r="S11" s="31"/>
      <c r="T11" s="31"/>
      <c r="U11" s="31"/>
      <c r="V11" s="31"/>
      <c r="W11" s="31"/>
      <c r="X11" s="31"/>
      <c r="Y11" s="31"/>
      <c r="Z11" s="31"/>
      <c r="AA11" s="31"/>
      <c r="AB11" s="31"/>
      <c r="AC11" s="31"/>
      <c r="AD11" s="31"/>
      <c r="AE11" s="31"/>
    </row>
    <row r="12" spans="1:46" s="2" customFormat="1" ht="12" customHeight="1">
      <c r="A12" s="31"/>
      <c r="B12" s="32"/>
      <c r="C12" s="31"/>
      <c r="D12" s="28" t="s">
        <v>19</v>
      </c>
      <c r="E12" s="31"/>
      <c r="F12" s="26" t="s">
        <v>20</v>
      </c>
      <c r="G12" s="31"/>
      <c r="H12" s="31"/>
      <c r="I12" s="28" t="s">
        <v>21</v>
      </c>
      <c r="J12" s="49">
        <f>'Rekapitulace stavby'!AN8</f>
        <v>44144</v>
      </c>
      <c r="K12" s="31"/>
      <c r="L12" s="89"/>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89"/>
      <c r="S13" s="31"/>
      <c r="T13" s="31"/>
      <c r="U13" s="31"/>
      <c r="V13" s="31"/>
      <c r="W13" s="31"/>
      <c r="X13" s="31"/>
      <c r="Y13" s="31"/>
      <c r="Z13" s="31"/>
      <c r="AA13" s="31"/>
      <c r="AB13" s="31"/>
      <c r="AC13" s="31"/>
      <c r="AD13" s="31"/>
      <c r="AE13" s="31"/>
    </row>
    <row r="14" spans="1:46" s="2" customFormat="1" ht="12" customHeight="1">
      <c r="A14" s="31"/>
      <c r="B14" s="32"/>
      <c r="C14" s="31"/>
      <c r="D14" s="28" t="s">
        <v>22</v>
      </c>
      <c r="E14" s="31"/>
      <c r="F14" s="31"/>
      <c r="G14" s="31"/>
      <c r="H14" s="31"/>
      <c r="I14" s="28" t="s">
        <v>23</v>
      </c>
      <c r="J14" s="26" t="s">
        <v>24</v>
      </c>
      <c r="K14" s="31"/>
      <c r="L14" s="89"/>
      <c r="S14" s="31"/>
      <c r="T14" s="31"/>
      <c r="U14" s="31"/>
      <c r="V14" s="31"/>
      <c r="W14" s="31"/>
      <c r="X14" s="31"/>
      <c r="Y14" s="31"/>
      <c r="Z14" s="31"/>
      <c r="AA14" s="31"/>
      <c r="AB14" s="31"/>
      <c r="AC14" s="31"/>
      <c r="AD14" s="31"/>
      <c r="AE14" s="31"/>
    </row>
    <row r="15" spans="1:46" s="2" customFormat="1" ht="18" customHeight="1">
      <c r="A15" s="31"/>
      <c r="B15" s="32"/>
      <c r="C15" s="31"/>
      <c r="D15" s="31"/>
      <c r="E15" s="26" t="s">
        <v>25</v>
      </c>
      <c r="F15" s="31"/>
      <c r="G15" s="31"/>
      <c r="H15" s="31"/>
      <c r="I15" s="28" t="s">
        <v>26</v>
      </c>
      <c r="J15" s="26" t="s">
        <v>27</v>
      </c>
      <c r="K15" s="31"/>
      <c r="L15" s="89"/>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89"/>
      <c r="S16" s="31"/>
      <c r="T16" s="31"/>
      <c r="U16" s="31"/>
      <c r="V16" s="31"/>
      <c r="W16" s="31"/>
      <c r="X16" s="31"/>
      <c r="Y16" s="31"/>
      <c r="Z16" s="31"/>
      <c r="AA16" s="31"/>
      <c r="AB16" s="31"/>
      <c r="AC16" s="31"/>
      <c r="AD16" s="31"/>
      <c r="AE16" s="31"/>
    </row>
    <row r="17" spans="1:31" s="2" customFormat="1" ht="12" customHeight="1">
      <c r="A17" s="31"/>
      <c r="B17" s="32"/>
      <c r="C17" s="31"/>
      <c r="D17" s="28" t="s">
        <v>28</v>
      </c>
      <c r="E17" s="31"/>
      <c r="F17" s="31"/>
      <c r="G17" s="31"/>
      <c r="H17" s="31"/>
      <c r="I17" s="28" t="s">
        <v>23</v>
      </c>
      <c r="J17" s="26" t="str">
        <f>'Rekapitulace stavby'!AN13</f>
        <v/>
      </c>
      <c r="K17" s="31"/>
      <c r="L17" s="89"/>
      <c r="S17" s="31"/>
      <c r="T17" s="31"/>
      <c r="U17" s="31"/>
      <c r="V17" s="31"/>
      <c r="W17" s="31"/>
      <c r="X17" s="31"/>
      <c r="Y17" s="31"/>
      <c r="Z17" s="31"/>
      <c r="AA17" s="31"/>
      <c r="AB17" s="31"/>
      <c r="AC17" s="31"/>
      <c r="AD17" s="31"/>
      <c r="AE17" s="31"/>
    </row>
    <row r="18" spans="1:31" s="2" customFormat="1" ht="18" customHeight="1">
      <c r="A18" s="31"/>
      <c r="B18" s="32"/>
      <c r="C18" s="31"/>
      <c r="D18" s="31"/>
      <c r="E18" s="345" t="str">
        <f>'Rekapitulace stavby'!E14</f>
        <v xml:space="preserve"> </v>
      </c>
      <c r="F18" s="345"/>
      <c r="G18" s="345"/>
      <c r="H18" s="345"/>
      <c r="I18" s="28" t="s">
        <v>26</v>
      </c>
      <c r="J18" s="26" t="str">
        <f>'Rekapitulace stavby'!AN14</f>
        <v/>
      </c>
      <c r="K18" s="31"/>
      <c r="L18" s="89"/>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89"/>
      <c r="S19" s="31"/>
      <c r="T19" s="31"/>
      <c r="U19" s="31"/>
      <c r="V19" s="31"/>
      <c r="W19" s="31"/>
      <c r="X19" s="31"/>
      <c r="Y19" s="31"/>
      <c r="Z19" s="31"/>
      <c r="AA19" s="31"/>
      <c r="AB19" s="31"/>
      <c r="AC19" s="31"/>
      <c r="AD19" s="31"/>
      <c r="AE19" s="31"/>
    </row>
    <row r="20" spans="1:31" s="2" customFormat="1" ht="12" customHeight="1">
      <c r="A20" s="31"/>
      <c r="B20" s="32"/>
      <c r="C20" s="31"/>
      <c r="D20" s="28" t="s">
        <v>30</v>
      </c>
      <c r="E20" s="31"/>
      <c r="F20" s="31"/>
      <c r="G20" s="31"/>
      <c r="H20" s="31"/>
      <c r="I20" s="28" t="s">
        <v>23</v>
      </c>
      <c r="J20" s="26" t="s">
        <v>31</v>
      </c>
      <c r="K20" s="31"/>
      <c r="L20" s="89"/>
      <c r="S20" s="31"/>
      <c r="T20" s="31"/>
      <c r="U20" s="31"/>
      <c r="V20" s="31"/>
      <c r="W20" s="31"/>
      <c r="X20" s="31"/>
      <c r="Y20" s="31"/>
      <c r="Z20" s="31"/>
      <c r="AA20" s="31"/>
      <c r="AB20" s="31"/>
      <c r="AC20" s="31"/>
      <c r="AD20" s="31"/>
      <c r="AE20" s="31"/>
    </row>
    <row r="21" spans="1:31" s="2" customFormat="1" ht="18" customHeight="1">
      <c r="A21" s="31"/>
      <c r="B21" s="32"/>
      <c r="C21" s="31"/>
      <c r="D21" s="31"/>
      <c r="E21" s="26" t="s">
        <v>32</v>
      </c>
      <c r="F21" s="31"/>
      <c r="G21" s="31"/>
      <c r="H21" s="31"/>
      <c r="I21" s="28" t="s">
        <v>26</v>
      </c>
      <c r="J21" s="26" t="s">
        <v>33</v>
      </c>
      <c r="K21" s="31"/>
      <c r="L21" s="89"/>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89"/>
      <c r="S22" s="31"/>
      <c r="T22" s="31"/>
      <c r="U22" s="31"/>
      <c r="V22" s="31"/>
      <c r="W22" s="31"/>
      <c r="X22" s="31"/>
      <c r="Y22" s="31"/>
      <c r="Z22" s="31"/>
      <c r="AA22" s="31"/>
      <c r="AB22" s="31"/>
      <c r="AC22" s="31"/>
      <c r="AD22" s="31"/>
      <c r="AE22" s="31"/>
    </row>
    <row r="23" spans="1:31" s="2" customFormat="1" ht="12" customHeight="1">
      <c r="A23" s="31"/>
      <c r="B23" s="32"/>
      <c r="C23" s="31"/>
      <c r="D23" s="28" t="s">
        <v>35</v>
      </c>
      <c r="E23" s="31"/>
      <c r="F23" s="31"/>
      <c r="G23" s="31"/>
      <c r="H23" s="31"/>
      <c r="I23" s="28" t="s">
        <v>23</v>
      </c>
      <c r="J23" s="26" t="str">
        <f>IF('Rekapitulace stavby'!AN19="","",'Rekapitulace stavby'!AN19)</f>
        <v/>
      </c>
      <c r="K23" s="31"/>
      <c r="L23" s="89"/>
      <c r="S23" s="31"/>
      <c r="T23" s="31"/>
      <c r="U23" s="31"/>
      <c r="V23" s="31"/>
      <c r="W23" s="31"/>
      <c r="X23" s="31"/>
      <c r="Y23" s="31"/>
      <c r="Z23" s="31"/>
      <c r="AA23" s="31"/>
      <c r="AB23" s="31"/>
      <c r="AC23" s="31"/>
      <c r="AD23" s="31"/>
      <c r="AE23" s="31"/>
    </row>
    <row r="24" spans="1:31" s="2" customFormat="1" ht="18" customHeight="1">
      <c r="A24" s="31"/>
      <c r="B24" s="32"/>
      <c r="C24" s="31"/>
      <c r="D24" s="31"/>
      <c r="E24" s="26" t="str">
        <f>IF('Rekapitulace stavby'!E20="","",'Rekapitulace stavby'!E20)</f>
        <v xml:space="preserve"> </v>
      </c>
      <c r="F24" s="31"/>
      <c r="G24" s="31"/>
      <c r="H24" s="31"/>
      <c r="I24" s="28" t="s">
        <v>26</v>
      </c>
      <c r="J24" s="26" t="str">
        <f>IF('Rekapitulace stavby'!AN20="","",'Rekapitulace stavby'!AN20)</f>
        <v/>
      </c>
      <c r="K24" s="31"/>
      <c r="L24" s="89"/>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89"/>
      <c r="S25" s="31"/>
      <c r="T25" s="31"/>
      <c r="U25" s="31"/>
      <c r="V25" s="31"/>
      <c r="W25" s="31"/>
      <c r="X25" s="31"/>
      <c r="Y25" s="31"/>
      <c r="Z25" s="31"/>
      <c r="AA25" s="31"/>
      <c r="AB25" s="31"/>
      <c r="AC25" s="31"/>
      <c r="AD25" s="31"/>
      <c r="AE25" s="31"/>
    </row>
    <row r="26" spans="1:31" s="2" customFormat="1" ht="12" customHeight="1">
      <c r="A26" s="31"/>
      <c r="B26" s="32"/>
      <c r="C26" s="31"/>
      <c r="D26" s="28" t="s">
        <v>36</v>
      </c>
      <c r="E26" s="31"/>
      <c r="F26" s="31"/>
      <c r="G26" s="31"/>
      <c r="H26" s="31"/>
      <c r="I26" s="31"/>
      <c r="J26" s="31"/>
      <c r="K26" s="31"/>
      <c r="L26" s="89"/>
      <c r="S26" s="31"/>
      <c r="T26" s="31"/>
      <c r="U26" s="31"/>
      <c r="V26" s="31"/>
      <c r="W26" s="31"/>
      <c r="X26" s="31"/>
      <c r="Y26" s="31"/>
      <c r="Z26" s="31"/>
      <c r="AA26" s="31"/>
      <c r="AB26" s="31"/>
      <c r="AC26" s="31"/>
      <c r="AD26" s="31"/>
      <c r="AE26" s="31"/>
    </row>
    <row r="27" spans="1:31" s="8" customFormat="1" ht="83.25" customHeight="1">
      <c r="A27" s="90"/>
      <c r="B27" s="91"/>
      <c r="C27" s="90"/>
      <c r="D27" s="90"/>
      <c r="E27" s="348" t="s">
        <v>37</v>
      </c>
      <c r="F27" s="348"/>
      <c r="G27" s="348"/>
      <c r="H27" s="348"/>
      <c r="I27" s="90"/>
      <c r="J27" s="90"/>
      <c r="K27" s="90"/>
      <c r="L27" s="92"/>
      <c r="S27" s="90"/>
      <c r="T27" s="90"/>
      <c r="U27" s="90"/>
      <c r="V27" s="90"/>
      <c r="W27" s="90"/>
      <c r="X27" s="90"/>
      <c r="Y27" s="90"/>
      <c r="Z27" s="90"/>
      <c r="AA27" s="90"/>
      <c r="AB27" s="90"/>
      <c r="AC27" s="90"/>
      <c r="AD27" s="90"/>
      <c r="AE27" s="90"/>
    </row>
    <row r="28" spans="1:31" s="2" customFormat="1" ht="6.95" customHeight="1">
      <c r="A28" s="31"/>
      <c r="B28" s="32"/>
      <c r="C28" s="31"/>
      <c r="D28" s="31"/>
      <c r="E28" s="31"/>
      <c r="F28" s="31"/>
      <c r="G28" s="31"/>
      <c r="H28" s="31"/>
      <c r="I28" s="31"/>
      <c r="J28" s="31"/>
      <c r="K28" s="31"/>
      <c r="L28" s="89"/>
      <c r="S28" s="31"/>
      <c r="T28" s="31"/>
      <c r="U28" s="31"/>
      <c r="V28" s="31"/>
      <c r="W28" s="31"/>
      <c r="X28" s="31"/>
      <c r="Y28" s="31"/>
      <c r="Z28" s="31"/>
      <c r="AA28" s="31"/>
      <c r="AB28" s="31"/>
      <c r="AC28" s="31"/>
      <c r="AD28" s="31"/>
      <c r="AE28" s="31"/>
    </row>
    <row r="29" spans="1:31" s="2" customFormat="1" ht="6.95" customHeight="1">
      <c r="A29" s="31"/>
      <c r="B29" s="32"/>
      <c r="C29" s="31"/>
      <c r="D29" s="60"/>
      <c r="E29" s="60"/>
      <c r="F29" s="60"/>
      <c r="G29" s="60"/>
      <c r="H29" s="60"/>
      <c r="I29" s="60"/>
      <c r="J29" s="60"/>
      <c r="K29" s="60"/>
      <c r="L29" s="89"/>
      <c r="S29" s="31"/>
      <c r="T29" s="31"/>
      <c r="U29" s="31"/>
      <c r="V29" s="31"/>
      <c r="W29" s="31"/>
      <c r="X29" s="31"/>
      <c r="Y29" s="31"/>
      <c r="Z29" s="31"/>
      <c r="AA29" s="31"/>
      <c r="AB29" s="31"/>
      <c r="AC29" s="31"/>
      <c r="AD29" s="31"/>
      <c r="AE29" s="31"/>
    </row>
    <row r="30" spans="1:31" s="2" customFormat="1" ht="25.35" customHeight="1">
      <c r="A30" s="31"/>
      <c r="B30" s="32"/>
      <c r="C30" s="31"/>
      <c r="D30" s="93" t="s">
        <v>38</v>
      </c>
      <c r="E30" s="31"/>
      <c r="F30" s="31"/>
      <c r="G30" s="31"/>
      <c r="H30" s="31"/>
      <c r="I30" s="31"/>
      <c r="J30" s="65">
        <f>ROUND(J82, 2)</f>
        <v>0</v>
      </c>
      <c r="K30" s="31"/>
      <c r="L30" s="89"/>
      <c r="S30" s="31"/>
      <c r="T30" s="31"/>
      <c r="U30" s="31"/>
      <c r="V30" s="31"/>
      <c r="W30" s="31"/>
      <c r="X30" s="31"/>
      <c r="Y30" s="31"/>
      <c r="Z30" s="31"/>
      <c r="AA30" s="31"/>
      <c r="AB30" s="31"/>
      <c r="AC30" s="31"/>
      <c r="AD30" s="31"/>
      <c r="AE30" s="31"/>
    </row>
    <row r="31" spans="1:31" s="2" customFormat="1" ht="6.95" customHeight="1">
      <c r="A31" s="31"/>
      <c r="B31" s="32"/>
      <c r="C31" s="31"/>
      <c r="D31" s="60"/>
      <c r="E31" s="60"/>
      <c r="F31" s="60"/>
      <c r="G31" s="60"/>
      <c r="H31" s="60"/>
      <c r="I31" s="60"/>
      <c r="J31" s="60"/>
      <c r="K31" s="60"/>
      <c r="L31" s="89"/>
      <c r="S31" s="31"/>
      <c r="T31" s="31"/>
      <c r="U31" s="31"/>
      <c r="V31" s="31"/>
      <c r="W31" s="31"/>
      <c r="X31" s="31"/>
      <c r="Y31" s="31"/>
      <c r="Z31" s="31"/>
      <c r="AA31" s="31"/>
      <c r="AB31" s="31"/>
      <c r="AC31" s="31"/>
      <c r="AD31" s="31"/>
      <c r="AE31" s="31"/>
    </row>
    <row r="32" spans="1:31" s="2" customFormat="1" ht="14.45" customHeight="1">
      <c r="A32" s="31"/>
      <c r="B32" s="32"/>
      <c r="C32" s="31"/>
      <c r="D32" s="31"/>
      <c r="E32" s="31"/>
      <c r="F32" s="35" t="s">
        <v>40</v>
      </c>
      <c r="G32" s="31"/>
      <c r="H32" s="31"/>
      <c r="I32" s="35" t="s">
        <v>39</v>
      </c>
      <c r="J32" s="35" t="s">
        <v>41</v>
      </c>
      <c r="K32" s="31"/>
      <c r="L32" s="89"/>
      <c r="S32" s="31"/>
      <c r="T32" s="31"/>
      <c r="U32" s="31"/>
      <c r="V32" s="31"/>
      <c r="W32" s="31"/>
      <c r="X32" s="31"/>
      <c r="Y32" s="31"/>
      <c r="Z32" s="31"/>
      <c r="AA32" s="31"/>
      <c r="AB32" s="31"/>
      <c r="AC32" s="31"/>
      <c r="AD32" s="31"/>
      <c r="AE32" s="31"/>
    </row>
    <row r="33" spans="1:31" s="2" customFormat="1" ht="14.45" customHeight="1">
      <c r="A33" s="31"/>
      <c r="B33" s="32"/>
      <c r="C33" s="31"/>
      <c r="D33" s="94" t="s">
        <v>42</v>
      </c>
      <c r="E33" s="28" t="s">
        <v>43</v>
      </c>
      <c r="F33" s="95">
        <f>ROUND((SUM(BE82:BE89)),  2)</f>
        <v>0</v>
      </c>
      <c r="G33" s="31"/>
      <c r="H33" s="31"/>
      <c r="I33" s="96">
        <v>0.21</v>
      </c>
      <c r="J33" s="95">
        <f>ROUND(((SUM(BE82:BE89))*I33),  2)</f>
        <v>0</v>
      </c>
      <c r="K33" s="31"/>
      <c r="L33" s="89"/>
      <c r="S33" s="31"/>
      <c r="T33" s="31"/>
      <c r="U33" s="31"/>
      <c r="V33" s="31"/>
      <c r="W33" s="31"/>
      <c r="X33" s="31"/>
      <c r="Y33" s="31"/>
      <c r="Z33" s="31"/>
      <c r="AA33" s="31"/>
      <c r="AB33" s="31"/>
      <c r="AC33" s="31"/>
      <c r="AD33" s="31"/>
      <c r="AE33" s="31"/>
    </row>
    <row r="34" spans="1:31" s="2" customFormat="1" ht="14.45" customHeight="1">
      <c r="A34" s="31"/>
      <c r="B34" s="32"/>
      <c r="C34" s="31"/>
      <c r="D34" s="31"/>
      <c r="E34" s="28" t="s">
        <v>44</v>
      </c>
      <c r="F34" s="95">
        <f>ROUND((SUM(BF82:BF89)),  2)</f>
        <v>0</v>
      </c>
      <c r="G34" s="31"/>
      <c r="H34" s="31"/>
      <c r="I34" s="96">
        <v>0.15</v>
      </c>
      <c r="J34" s="95">
        <f>ROUND(((SUM(BF82:BF89))*I34),  2)</f>
        <v>0</v>
      </c>
      <c r="K34" s="31"/>
      <c r="L34" s="89"/>
      <c r="S34" s="31"/>
      <c r="T34" s="31"/>
      <c r="U34" s="31"/>
      <c r="V34" s="31"/>
      <c r="W34" s="31"/>
      <c r="X34" s="31"/>
      <c r="Y34" s="31"/>
      <c r="Z34" s="31"/>
      <c r="AA34" s="31"/>
      <c r="AB34" s="31"/>
      <c r="AC34" s="31"/>
      <c r="AD34" s="31"/>
      <c r="AE34" s="31"/>
    </row>
    <row r="35" spans="1:31" s="2" customFormat="1" ht="14.45" hidden="1" customHeight="1">
      <c r="A35" s="31"/>
      <c r="B35" s="32"/>
      <c r="C35" s="31"/>
      <c r="D35" s="31"/>
      <c r="E35" s="28" t="s">
        <v>45</v>
      </c>
      <c r="F35" s="95">
        <f>ROUND((SUM(BG82:BG89)),  2)</f>
        <v>0</v>
      </c>
      <c r="G35" s="31"/>
      <c r="H35" s="31"/>
      <c r="I35" s="96">
        <v>0.21</v>
      </c>
      <c r="J35" s="95">
        <f>0</f>
        <v>0</v>
      </c>
      <c r="K35" s="31"/>
      <c r="L35" s="89"/>
      <c r="S35" s="31"/>
      <c r="T35" s="31"/>
      <c r="U35" s="31"/>
      <c r="V35" s="31"/>
      <c r="W35" s="31"/>
      <c r="X35" s="31"/>
      <c r="Y35" s="31"/>
      <c r="Z35" s="31"/>
      <c r="AA35" s="31"/>
      <c r="AB35" s="31"/>
      <c r="AC35" s="31"/>
      <c r="AD35" s="31"/>
      <c r="AE35" s="31"/>
    </row>
    <row r="36" spans="1:31" s="2" customFormat="1" ht="14.45" hidden="1" customHeight="1">
      <c r="A36" s="31"/>
      <c r="B36" s="32"/>
      <c r="C36" s="31"/>
      <c r="D36" s="31"/>
      <c r="E36" s="28" t="s">
        <v>46</v>
      </c>
      <c r="F36" s="95">
        <f>ROUND((SUM(BH82:BH89)),  2)</f>
        <v>0</v>
      </c>
      <c r="G36" s="31"/>
      <c r="H36" s="31"/>
      <c r="I36" s="96">
        <v>0.15</v>
      </c>
      <c r="J36" s="95">
        <f>0</f>
        <v>0</v>
      </c>
      <c r="K36" s="31"/>
      <c r="L36" s="89"/>
      <c r="S36" s="31"/>
      <c r="T36" s="31"/>
      <c r="U36" s="31"/>
      <c r="V36" s="31"/>
      <c r="W36" s="31"/>
      <c r="X36" s="31"/>
      <c r="Y36" s="31"/>
      <c r="Z36" s="31"/>
      <c r="AA36" s="31"/>
      <c r="AB36" s="31"/>
      <c r="AC36" s="31"/>
      <c r="AD36" s="31"/>
      <c r="AE36" s="31"/>
    </row>
    <row r="37" spans="1:31" s="2" customFormat="1" ht="14.45" hidden="1" customHeight="1">
      <c r="A37" s="31"/>
      <c r="B37" s="32"/>
      <c r="C37" s="31"/>
      <c r="D37" s="31"/>
      <c r="E37" s="28" t="s">
        <v>47</v>
      </c>
      <c r="F37" s="95">
        <f>ROUND((SUM(BI82:BI89)),  2)</f>
        <v>0</v>
      </c>
      <c r="G37" s="31"/>
      <c r="H37" s="31"/>
      <c r="I37" s="96">
        <v>0</v>
      </c>
      <c r="J37" s="95">
        <f>0</f>
        <v>0</v>
      </c>
      <c r="K37" s="31"/>
      <c r="L37" s="89"/>
      <c r="S37" s="31"/>
      <c r="T37" s="31"/>
      <c r="U37" s="31"/>
      <c r="V37" s="31"/>
      <c r="W37" s="31"/>
      <c r="X37" s="31"/>
      <c r="Y37" s="31"/>
      <c r="Z37" s="31"/>
      <c r="AA37" s="31"/>
      <c r="AB37" s="31"/>
      <c r="AC37" s="31"/>
      <c r="AD37" s="31"/>
      <c r="AE37" s="31"/>
    </row>
    <row r="38" spans="1:31" s="2" customFormat="1" ht="6.95" customHeight="1">
      <c r="A38" s="31"/>
      <c r="B38" s="32"/>
      <c r="C38" s="31"/>
      <c r="D38" s="31"/>
      <c r="E38" s="31"/>
      <c r="F38" s="31"/>
      <c r="G38" s="31"/>
      <c r="H38" s="31"/>
      <c r="I38" s="31"/>
      <c r="J38" s="31"/>
      <c r="K38" s="31"/>
      <c r="L38" s="89"/>
      <c r="S38" s="31"/>
      <c r="T38" s="31"/>
      <c r="U38" s="31"/>
      <c r="V38" s="31"/>
      <c r="W38" s="31"/>
      <c r="X38" s="31"/>
      <c r="Y38" s="31"/>
      <c r="Z38" s="31"/>
      <c r="AA38" s="31"/>
      <c r="AB38" s="31"/>
      <c r="AC38" s="31"/>
      <c r="AD38" s="31"/>
      <c r="AE38" s="31"/>
    </row>
    <row r="39" spans="1:31" s="2" customFormat="1" ht="25.35" customHeight="1">
      <c r="A39" s="31"/>
      <c r="B39" s="32"/>
      <c r="C39" s="97"/>
      <c r="D39" s="98" t="s">
        <v>48</v>
      </c>
      <c r="E39" s="54"/>
      <c r="F39" s="54"/>
      <c r="G39" s="99" t="s">
        <v>49</v>
      </c>
      <c r="H39" s="100" t="s">
        <v>50</v>
      </c>
      <c r="I39" s="54"/>
      <c r="J39" s="101">
        <f>SUM(J30:J37)</f>
        <v>0</v>
      </c>
      <c r="K39" s="102"/>
      <c r="L39" s="89"/>
      <c r="S39" s="31"/>
      <c r="T39" s="31"/>
      <c r="U39" s="31"/>
      <c r="V39" s="31"/>
      <c r="W39" s="31"/>
      <c r="X39" s="31"/>
      <c r="Y39" s="31"/>
      <c r="Z39" s="31"/>
      <c r="AA39" s="31"/>
      <c r="AB39" s="31"/>
      <c r="AC39" s="31"/>
      <c r="AD39" s="31"/>
      <c r="AE39" s="31"/>
    </row>
    <row r="40" spans="1:31" s="2" customFormat="1" ht="14.45" customHeight="1">
      <c r="A40" s="31"/>
      <c r="B40" s="41"/>
      <c r="C40" s="42"/>
      <c r="D40" s="42"/>
      <c r="E40" s="42"/>
      <c r="F40" s="42"/>
      <c r="G40" s="42"/>
      <c r="H40" s="42"/>
      <c r="I40" s="42"/>
      <c r="J40" s="42"/>
      <c r="K40" s="42"/>
      <c r="L40" s="89"/>
      <c r="S40" s="31"/>
      <c r="T40" s="31"/>
      <c r="U40" s="31"/>
      <c r="V40" s="31"/>
      <c r="W40" s="31"/>
      <c r="X40" s="31"/>
      <c r="Y40" s="31"/>
      <c r="Z40" s="31"/>
      <c r="AA40" s="31"/>
      <c r="AB40" s="31"/>
      <c r="AC40" s="31"/>
      <c r="AD40" s="31"/>
      <c r="AE40" s="31"/>
    </row>
    <row r="44" spans="1:31" s="2" customFormat="1" ht="6.95" customHeight="1">
      <c r="A44" s="31"/>
      <c r="B44" s="43"/>
      <c r="C44" s="44"/>
      <c r="D44" s="44"/>
      <c r="E44" s="44"/>
      <c r="F44" s="44"/>
      <c r="G44" s="44"/>
      <c r="H44" s="44"/>
      <c r="I44" s="44"/>
      <c r="J44" s="44"/>
      <c r="K44" s="44"/>
      <c r="L44" s="89"/>
      <c r="S44" s="31"/>
      <c r="T44" s="31"/>
      <c r="U44" s="31"/>
      <c r="V44" s="31"/>
      <c r="W44" s="31"/>
      <c r="X44" s="31"/>
      <c r="Y44" s="31"/>
      <c r="Z44" s="31"/>
      <c r="AA44" s="31"/>
      <c r="AB44" s="31"/>
      <c r="AC44" s="31"/>
      <c r="AD44" s="31"/>
      <c r="AE44" s="31"/>
    </row>
    <row r="45" spans="1:31" s="2" customFormat="1" ht="24.95" customHeight="1">
      <c r="A45" s="31"/>
      <c r="B45" s="32"/>
      <c r="C45" s="23" t="s">
        <v>104</v>
      </c>
      <c r="D45" s="31"/>
      <c r="E45" s="31"/>
      <c r="F45" s="31"/>
      <c r="G45" s="31"/>
      <c r="H45" s="31"/>
      <c r="I45" s="31"/>
      <c r="J45" s="31"/>
      <c r="K45" s="31"/>
      <c r="L45" s="89"/>
      <c r="S45" s="31"/>
      <c r="T45" s="31"/>
      <c r="U45" s="31"/>
      <c r="V45" s="31"/>
      <c r="W45" s="31"/>
      <c r="X45" s="31"/>
      <c r="Y45" s="31"/>
      <c r="Z45" s="31"/>
      <c r="AA45" s="31"/>
      <c r="AB45" s="31"/>
      <c r="AC45" s="31"/>
      <c r="AD45" s="31"/>
      <c r="AE45" s="31"/>
    </row>
    <row r="46" spans="1:31" s="2" customFormat="1" ht="6.95" customHeight="1">
      <c r="A46" s="31"/>
      <c r="B46" s="32"/>
      <c r="C46" s="31"/>
      <c r="D46" s="31"/>
      <c r="E46" s="31"/>
      <c r="F46" s="31"/>
      <c r="G46" s="31"/>
      <c r="H46" s="31"/>
      <c r="I46" s="31"/>
      <c r="J46" s="31"/>
      <c r="K46" s="31"/>
      <c r="L46" s="89"/>
      <c r="S46" s="31"/>
      <c r="T46" s="31"/>
      <c r="U46" s="31"/>
      <c r="V46" s="31"/>
      <c r="W46" s="31"/>
      <c r="X46" s="31"/>
      <c r="Y46" s="31"/>
      <c r="Z46" s="31"/>
      <c r="AA46" s="31"/>
      <c r="AB46" s="31"/>
      <c r="AC46" s="31"/>
      <c r="AD46" s="31"/>
      <c r="AE46" s="31"/>
    </row>
    <row r="47" spans="1:31" s="2" customFormat="1" ht="12" customHeight="1">
      <c r="A47" s="31"/>
      <c r="B47" s="32"/>
      <c r="C47" s="28" t="s">
        <v>14</v>
      </c>
      <c r="D47" s="31"/>
      <c r="E47" s="31"/>
      <c r="F47" s="31"/>
      <c r="G47" s="31"/>
      <c r="H47" s="31"/>
      <c r="I47" s="31"/>
      <c r="J47" s="31"/>
      <c r="K47" s="31"/>
      <c r="L47" s="89"/>
      <c r="S47" s="31"/>
      <c r="T47" s="31"/>
      <c r="U47" s="31"/>
      <c r="V47" s="31"/>
      <c r="W47" s="31"/>
      <c r="X47" s="31"/>
      <c r="Y47" s="31"/>
      <c r="Z47" s="31"/>
      <c r="AA47" s="31"/>
      <c r="AB47" s="31"/>
      <c r="AC47" s="31"/>
      <c r="AD47" s="31"/>
      <c r="AE47" s="31"/>
    </row>
    <row r="48" spans="1:31" s="2" customFormat="1" ht="23.25" customHeight="1">
      <c r="A48" s="31"/>
      <c r="B48" s="32"/>
      <c r="C48" s="31"/>
      <c r="D48" s="31"/>
      <c r="E48" s="358" t="str">
        <f>E7</f>
        <v>Rekonstrukce objektu vrátnice a areálu Nemocnice Nymburk s.r.o. , objekt na č.parc. 323, k.ú. Nymburk</v>
      </c>
      <c r="F48" s="359"/>
      <c r="G48" s="359"/>
      <c r="H48" s="359"/>
      <c r="I48" s="31"/>
      <c r="J48" s="31"/>
      <c r="K48" s="31"/>
      <c r="L48" s="89"/>
      <c r="S48" s="31"/>
      <c r="T48" s="31"/>
      <c r="U48" s="31"/>
      <c r="V48" s="31"/>
      <c r="W48" s="31"/>
      <c r="X48" s="31"/>
      <c r="Y48" s="31"/>
      <c r="Z48" s="31"/>
      <c r="AA48" s="31"/>
      <c r="AB48" s="31"/>
      <c r="AC48" s="31"/>
      <c r="AD48" s="31"/>
      <c r="AE48" s="31"/>
    </row>
    <row r="49" spans="1:47" s="2" customFormat="1" ht="12" customHeight="1">
      <c r="A49" s="31"/>
      <c r="B49" s="32"/>
      <c r="C49" s="28" t="s">
        <v>102</v>
      </c>
      <c r="D49" s="31"/>
      <c r="E49" s="31"/>
      <c r="F49" s="31"/>
      <c r="G49" s="31"/>
      <c r="H49" s="31"/>
      <c r="I49" s="31"/>
      <c r="J49" s="31"/>
      <c r="K49" s="31"/>
      <c r="L49" s="89"/>
      <c r="S49" s="31"/>
      <c r="T49" s="31"/>
      <c r="U49" s="31"/>
      <c r="V49" s="31"/>
      <c r="W49" s="31"/>
      <c r="X49" s="31"/>
      <c r="Y49" s="31"/>
      <c r="Z49" s="31"/>
      <c r="AA49" s="31"/>
      <c r="AB49" s="31"/>
      <c r="AC49" s="31"/>
      <c r="AD49" s="31"/>
      <c r="AE49" s="31"/>
    </row>
    <row r="50" spans="1:47" s="2" customFormat="1" ht="16.5" customHeight="1">
      <c r="A50" s="31"/>
      <c r="B50" s="32"/>
      <c r="C50" s="31"/>
      <c r="D50" s="31"/>
      <c r="E50" s="324" t="str">
        <f>E9</f>
        <v>07 - VRN</v>
      </c>
      <c r="F50" s="357"/>
      <c r="G50" s="357"/>
      <c r="H50" s="357"/>
      <c r="I50" s="31"/>
      <c r="J50" s="31"/>
      <c r="K50" s="31"/>
      <c r="L50" s="89"/>
      <c r="S50" s="31"/>
      <c r="T50" s="31"/>
      <c r="U50" s="31"/>
      <c r="V50" s="31"/>
      <c r="W50" s="31"/>
      <c r="X50" s="31"/>
      <c r="Y50" s="31"/>
      <c r="Z50" s="31"/>
      <c r="AA50" s="31"/>
      <c r="AB50" s="31"/>
      <c r="AC50" s="31"/>
      <c r="AD50" s="31"/>
      <c r="AE50" s="31"/>
    </row>
    <row r="51" spans="1:47" s="2" customFormat="1" ht="6.95" customHeight="1">
      <c r="A51" s="31"/>
      <c r="B51" s="32"/>
      <c r="C51" s="31"/>
      <c r="D51" s="31"/>
      <c r="E51" s="31"/>
      <c r="F51" s="31"/>
      <c r="G51" s="31"/>
      <c r="H51" s="31"/>
      <c r="I51" s="31"/>
      <c r="J51" s="31"/>
      <c r="K51" s="31"/>
      <c r="L51" s="89"/>
      <c r="S51" s="31"/>
      <c r="T51" s="31"/>
      <c r="U51" s="31"/>
      <c r="V51" s="31"/>
      <c r="W51" s="31"/>
      <c r="X51" s="31"/>
      <c r="Y51" s="31"/>
      <c r="Z51" s="31"/>
      <c r="AA51" s="31"/>
      <c r="AB51" s="31"/>
      <c r="AC51" s="31"/>
      <c r="AD51" s="31"/>
      <c r="AE51" s="31"/>
    </row>
    <row r="52" spans="1:47" s="2" customFormat="1" ht="12" customHeight="1">
      <c r="A52" s="31"/>
      <c r="B52" s="32"/>
      <c r="C52" s="28" t="s">
        <v>19</v>
      </c>
      <c r="D52" s="31"/>
      <c r="E52" s="31"/>
      <c r="F52" s="26" t="str">
        <f>F12</f>
        <v>Nymburk</v>
      </c>
      <c r="G52" s="31"/>
      <c r="H52" s="31"/>
      <c r="I52" s="28" t="s">
        <v>21</v>
      </c>
      <c r="J52" s="49">
        <f>IF(J12="","",J12)</f>
        <v>44144</v>
      </c>
      <c r="K52" s="31"/>
      <c r="L52" s="89"/>
      <c r="S52" s="31"/>
      <c r="T52" s="31"/>
      <c r="U52" s="31"/>
      <c r="V52" s="31"/>
      <c r="W52" s="31"/>
      <c r="X52" s="31"/>
      <c r="Y52" s="31"/>
      <c r="Z52" s="31"/>
      <c r="AA52" s="31"/>
      <c r="AB52" s="31"/>
      <c r="AC52" s="31"/>
      <c r="AD52" s="31"/>
      <c r="AE52" s="31"/>
    </row>
    <row r="53" spans="1:47" s="2" customFormat="1" ht="6.95" customHeight="1">
      <c r="A53" s="31"/>
      <c r="B53" s="32"/>
      <c r="C53" s="31"/>
      <c r="D53" s="31"/>
      <c r="E53" s="31"/>
      <c r="F53" s="31"/>
      <c r="G53" s="31"/>
      <c r="H53" s="31"/>
      <c r="I53" s="31"/>
      <c r="J53" s="31"/>
      <c r="K53" s="31"/>
      <c r="L53" s="89"/>
      <c r="S53" s="31"/>
      <c r="T53" s="31"/>
      <c r="U53" s="31"/>
      <c r="V53" s="31"/>
      <c r="W53" s="31"/>
      <c r="X53" s="31"/>
      <c r="Y53" s="31"/>
      <c r="Z53" s="31"/>
      <c r="AA53" s="31"/>
      <c r="AB53" s="31"/>
      <c r="AC53" s="31"/>
      <c r="AD53" s="31"/>
      <c r="AE53" s="31"/>
    </row>
    <row r="54" spans="1:47" s="2" customFormat="1" ht="25.7" customHeight="1">
      <c r="A54" s="31"/>
      <c r="B54" s="32"/>
      <c r="C54" s="28" t="s">
        <v>22</v>
      </c>
      <c r="D54" s="31"/>
      <c r="E54" s="31"/>
      <c r="F54" s="26" t="str">
        <f>E15</f>
        <v>Nemocnice Nymburk s.r.o.</v>
      </c>
      <c r="G54" s="31"/>
      <c r="H54" s="31"/>
      <c r="I54" s="28" t="s">
        <v>30</v>
      </c>
      <c r="J54" s="29" t="str">
        <f>E21</f>
        <v>Ing. arch. Pavel Petrák</v>
      </c>
      <c r="K54" s="31"/>
      <c r="L54" s="89"/>
      <c r="S54" s="31"/>
      <c r="T54" s="31"/>
      <c r="U54" s="31"/>
      <c r="V54" s="31"/>
      <c r="W54" s="31"/>
      <c r="X54" s="31"/>
      <c r="Y54" s="31"/>
      <c r="Z54" s="31"/>
      <c r="AA54" s="31"/>
      <c r="AB54" s="31"/>
      <c r="AC54" s="31"/>
      <c r="AD54" s="31"/>
      <c r="AE54" s="31"/>
    </row>
    <row r="55" spans="1:47" s="2" customFormat="1" ht="15.2" customHeight="1">
      <c r="A55" s="31"/>
      <c r="B55" s="32"/>
      <c r="C55" s="28" t="s">
        <v>28</v>
      </c>
      <c r="D55" s="31"/>
      <c r="E55" s="31"/>
      <c r="F55" s="26" t="str">
        <f>IF(E18="","",E18)</f>
        <v xml:space="preserve"> </v>
      </c>
      <c r="G55" s="31"/>
      <c r="H55" s="31"/>
      <c r="I55" s="28" t="s">
        <v>35</v>
      </c>
      <c r="J55" s="29" t="str">
        <f>E24</f>
        <v xml:space="preserve"> </v>
      </c>
      <c r="K55" s="31"/>
      <c r="L55" s="89"/>
      <c r="S55" s="31"/>
      <c r="T55" s="31"/>
      <c r="U55" s="31"/>
      <c r="V55" s="31"/>
      <c r="W55" s="31"/>
      <c r="X55" s="31"/>
      <c r="Y55" s="31"/>
      <c r="Z55" s="31"/>
      <c r="AA55" s="31"/>
      <c r="AB55" s="31"/>
      <c r="AC55" s="31"/>
      <c r="AD55" s="31"/>
      <c r="AE55" s="31"/>
    </row>
    <row r="56" spans="1:47" s="2" customFormat="1" ht="10.35" customHeight="1">
      <c r="A56" s="31"/>
      <c r="B56" s="32"/>
      <c r="C56" s="31"/>
      <c r="D56" s="31"/>
      <c r="E56" s="31"/>
      <c r="F56" s="31"/>
      <c r="G56" s="31"/>
      <c r="H56" s="31"/>
      <c r="I56" s="31"/>
      <c r="J56" s="31"/>
      <c r="K56" s="31"/>
      <c r="L56" s="89"/>
      <c r="S56" s="31"/>
      <c r="T56" s="31"/>
      <c r="U56" s="31"/>
      <c r="V56" s="31"/>
      <c r="W56" s="31"/>
      <c r="X56" s="31"/>
      <c r="Y56" s="31"/>
      <c r="Z56" s="31"/>
      <c r="AA56" s="31"/>
      <c r="AB56" s="31"/>
      <c r="AC56" s="31"/>
      <c r="AD56" s="31"/>
      <c r="AE56" s="31"/>
    </row>
    <row r="57" spans="1:47" s="2" customFormat="1" ht="29.25" customHeight="1">
      <c r="A57" s="31"/>
      <c r="B57" s="32"/>
      <c r="C57" s="103" t="s">
        <v>105</v>
      </c>
      <c r="D57" s="97"/>
      <c r="E57" s="97"/>
      <c r="F57" s="97"/>
      <c r="G57" s="97"/>
      <c r="H57" s="97"/>
      <c r="I57" s="97"/>
      <c r="J57" s="104" t="s">
        <v>106</v>
      </c>
      <c r="K57" s="97"/>
      <c r="L57" s="89"/>
      <c r="S57" s="31"/>
      <c r="T57" s="31"/>
      <c r="U57" s="31"/>
      <c r="V57" s="31"/>
      <c r="W57" s="31"/>
      <c r="X57" s="31"/>
      <c r="Y57" s="31"/>
      <c r="Z57" s="31"/>
      <c r="AA57" s="31"/>
      <c r="AB57" s="31"/>
      <c r="AC57" s="31"/>
      <c r="AD57" s="31"/>
      <c r="AE57" s="31"/>
    </row>
    <row r="58" spans="1:47" s="2" customFormat="1" ht="10.35" customHeight="1">
      <c r="A58" s="31"/>
      <c r="B58" s="32"/>
      <c r="C58" s="31"/>
      <c r="D58" s="31"/>
      <c r="E58" s="31"/>
      <c r="F58" s="31"/>
      <c r="G58" s="31"/>
      <c r="H58" s="31"/>
      <c r="I58" s="31"/>
      <c r="J58" s="31"/>
      <c r="K58" s="31"/>
      <c r="L58" s="89"/>
      <c r="S58" s="31"/>
      <c r="T58" s="31"/>
      <c r="U58" s="31"/>
      <c r="V58" s="31"/>
      <c r="W58" s="31"/>
      <c r="X58" s="31"/>
      <c r="Y58" s="31"/>
      <c r="Z58" s="31"/>
      <c r="AA58" s="31"/>
      <c r="AB58" s="31"/>
      <c r="AC58" s="31"/>
      <c r="AD58" s="31"/>
      <c r="AE58" s="31"/>
    </row>
    <row r="59" spans="1:47" s="2" customFormat="1" ht="22.9" customHeight="1">
      <c r="A59" s="31"/>
      <c r="B59" s="32"/>
      <c r="C59" s="105" t="s">
        <v>70</v>
      </c>
      <c r="D59" s="31"/>
      <c r="E59" s="31"/>
      <c r="F59" s="31"/>
      <c r="G59" s="31"/>
      <c r="H59" s="31"/>
      <c r="I59" s="31"/>
      <c r="J59" s="65">
        <f>J82</f>
        <v>0</v>
      </c>
      <c r="K59" s="31"/>
      <c r="L59" s="89"/>
      <c r="S59" s="31"/>
      <c r="T59" s="31"/>
      <c r="U59" s="31"/>
      <c r="V59" s="31"/>
      <c r="W59" s="31"/>
      <c r="X59" s="31"/>
      <c r="Y59" s="31"/>
      <c r="Z59" s="31"/>
      <c r="AA59" s="31"/>
      <c r="AB59" s="31"/>
      <c r="AC59" s="31"/>
      <c r="AD59" s="31"/>
      <c r="AE59" s="31"/>
      <c r="AU59" s="19" t="s">
        <v>107</v>
      </c>
    </row>
    <row r="60" spans="1:47" s="9" customFormat="1" ht="24.95" customHeight="1">
      <c r="B60" s="106"/>
      <c r="D60" s="107" t="s">
        <v>531</v>
      </c>
      <c r="E60" s="108"/>
      <c r="F60" s="108"/>
      <c r="G60" s="108"/>
      <c r="H60" s="108"/>
      <c r="I60" s="108"/>
      <c r="J60" s="109">
        <f>J83</f>
        <v>0</v>
      </c>
      <c r="L60" s="106"/>
    </row>
    <row r="61" spans="1:47" s="10" customFormat="1" ht="19.899999999999999" customHeight="1">
      <c r="B61" s="110"/>
      <c r="D61" s="111" t="s">
        <v>1280</v>
      </c>
      <c r="E61" s="112"/>
      <c r="F61" s="112"/>
      <c r="G61" s="112"/>
      <c r="H61" s="112"/>
      <c r="I61" s="112"/>
      <c r="J61" s="113">
        <f>J84</f>
        <v>0</v>
      </c>
      <c r="L61" s="110"/>
    </row>
    <row r="62" spans="1:47" s="10" customFormat="1" ht="19.899999999999999" customHeight="1">
      <c r="B62" s="110"/>
      <c r="D62" s="111" t="s">
        <v>1281</v>
      </c>
      <c r="E62" s="112"/>
      <c r="F62" s="112"/>
      <c r="G62" s="112"/>
      <c r="H62" s="112"/>
      <c r="I62" s="112"/>
      <c r="J62" s="113">
        <f>J87</f>
        <v>0</v>
      </c>
      <c r="L62" s="110"/>
    </row>
    <row r="63" spans="1:47" s="2" customFormat="1" ht="21.75" customHeight="1">
      <c r="A63" s="31"/>
      <c r="B63" s="32"/>
      <c r="C63" s="31"/>
      <c r="D63" s="31"/>
      <c r="E63" s="31"/>
      <c r="F63" s="31"/>
      <c r="G63" s="31"/>
      <c r="H63" s="31"/>
      <c r="I63" s="31"/>
      <c r="J63" s="31"/>
      <c r="K63" s="31"/>
      <c r="L63" s="89"/>
      <c r="S63" s="31"/>
      <c r="T63" s="31"/>
      <c r="U63" s="31"/>
      <c r="V63" s="31"/>
      <c r="W63" s="31"/>
      <c r="X63" s="31"/>
      <c r="Y63" s="31"/>
      <c r="Z63" s="31"/>
      <c r="AA63" s="31"/>
      <c r="AB63" s="31"/>
      <c r="AC63" s="31"/>
      <c r="AD63" s="31"/>
      <c r="AE63" s="31"/>
    </row>
    <row r="64" spans="1:47" s="2" customFormat="1" ht="6.95" customHeight="1">
      <c r="A64" s="31"/>
      <c r="B64" s="41"/>
      <c r="C64" s="42"/>
      <c r="D64" s="42"/>
      <c r="E64" s="42"/>
      <c r="F64" s="42"/>
      <c r="G64" s="42"/>
      <c r="H64" s="42"/>
      <c r="I64" s="42"/>
      <c r="J64" s="42"/>
      <c r="K64" s="42"/>
      <c r="L64" s="89"/>
      <c r="S64" s="31"/>
      <c r="T64" s="31"/>
      <c r="U64" s="31"/>
      <c r="V64" s="31"/>
      <c r="W64" s="31"/>
      <c r="X64" s="31"/>
      <c r="Y64" s="31"/>
      <c r="Z64" s="31"/>
      <c r="AA64" s="31"/>
      <c r="AB64" s="31"/>
      <c r="AC64" s="31"/>
      <c r="AD64" s="31"/>
      <c r="AE64" s="31"/>
    </row>
    <row r="68" spans="1:31" s="2" customFormat="1" ht="6.95" customHeight="1">
      <c r="A68" s="31"/>
      <c r="B68" s="43"/>
      <c r="C68" s="44"/>
      <c r="D68" s="44"/>
      <c r="E68" s="44"/>
      <c r="F68" s="44"/>
      <c r="G68" s="44"/>
      <c r="H68" s="44"/>
      <c r="I68" s="44"/>
      <c r="J68" s="44"/>
      <c r="K68" s="44"/>
      <c r="L68" s="89"/>
      <c r="S68" s="31"/>
      <c r="T68" s="31"/>
      <c r="U68" s="31"/>
      <c r="V68" s="31"/>
      <c r="W68" s="31"/>
      <c r="X68" s="31"/>
      <c r="Y68" s="31"/>
      <c r="Z68" s="31"/>
      <c r="AA68" s="31"/>
      <c r="AB68" s="31"/>
      <c r="AC68" s="31"/>
      <c r="AD68" s="31"/>
      <c r="AE68" s="31"/>
    </row>
    <row r="69" spans="1:31" s="2" customFormat="1" ht="24.95" customHeight="1">
      <c r="A69" s="31"/>
      <c r="B69" s="32"/>
      <c r="C69" s="23" t="s">
        <v>123</v>
      </c>
      <c r="D69" s="31"/>
      <c r="E69" s="31"/>
      <c r="F69" s="31"/>
      <c r="G69" s="31"/>
      <c r="H69" s="31"/>
      <c r="I69" s="31"/>
      <c r="J69" s="31"/>
      <c r="K69" s="31"/>
      <c r="L69" s="89"/>
      <c r="S69" s="31"/>
      <c r="T69" s="31"/>
      <c r="U69" s="31"/>
      <c r="V69" s="31"/>
      <c r="W69" s="31"/>
      <c r="X69" s="31"/>
      <c r="Y69" s="31"/>
      <c r="Z69" s="31"/>
      <c r="AA69" s="31"/>
      <c r="AB69" s="31"/>
      <c r="AC69" s="31"/>
      <c r="AD69" s="31"/>
      <c r="AE69" s="31"/>
    </row>
    <row r="70" spans="1:31" s="2" customFormat="1" ht="6.95" customHeight="1">
      <c r="A70" s="31"/>
      <c r="B70" s="32"/>
      <c r="C70" s="31"/>
      <c r="D70" s="31"/>
      <c r="E70" s="31"/>
      <c r="F70" s="31"/>
      <c r="G70" s="31"/>
      <c r="H70" s="31"/>
      <c r="I70" s="31"/>
      <c r="J70" s="31"/>
      <c r="K70" s="31"/>
      <c r="L70" s="89"/>
      <c r="S70" s="31"/>
      <c r="T70" s="31"/>
      <c r="U70" s="31"/>
      <c r="V70" s="31"/>
      <c r="W70" s="31"/>
      <c r="X70" s="31"/>
      <c r="Y70" s="31"/>
      <c r="Z70" s="31"/>
      <c r="AA70" s="31"/>
      <c r="AB70" s="31"/>
      <c r="AC70" s="31"/>
      <c r="AD70" s="31"/>
      <c r="AE70" s="31"/>
    </row>
    <row r="71" spans="1:31" s="2" customFormat="1" ht="12" customHeight="1">
      <c r="A71" s="31"/>
      <c r="B71" s="32"/>
      <c r="C71" s="28" t="s">
        <v>14</v>
      </c>
      <c r="D71" s="31"/>
      <c r="E71" s="31"/>
      <c r="F71" s="31"/>
      <c r="G71" s="31"/>
      <c r="H71" s="31"/>
      <c r="I71" s="31"/>
      <c r="J71" s="31"/>
      <c r="K71" s="31"/>
      <c r="L71" s="89"/>
      <c r="S71" s="31"/>
      <c r="T71" s="31"/>
      <c r="U71" s="31"/>
      <c r="V71" s="31"/>
      <c r="W71" s="31"/>
      <c r="X71" s="31"/>
      <c r="Y71" s="31"/>
      <c r="Z71" s="31"/>
      <c r="AA71" s="31"/>
      <c r="AB71" s="31"/>
      <c r="AC71" s="31"/>
      <c r="AD71" s="31"/>
      <c r="AE71" s="31"/>
    </row>
    <row r="72" spans="1:31" s="2" customFormat="1" ht="23.25" customHeight="1">
      <c r="A72" s="31"/>
      <c r="B72" s="32"/>
      <c r="C72" s="31"/>
      <c r="D72" s="31"/>
      <c r="E72" s="358" t="str">
        <f>E7</f>
        <v>Rekonstrukce objektu vrátnice a areálu Nemocnice Nymburk s.r.o. , objekt na č.parc. 323, k.ú. Nymburk</v>
      </c>
      <c r="F72" s="359"/>
      <c r="G72" s="359"/>
      <c r="H72" s="359"/>
      <c r="I72" s="31"/>
      <c r="J72" s="31"/>
      <c r="K72" s="31"/>
      <c r="L72" s="89"/>
      <c r="S72" s="31"/>
      <c r="T72" s="31"/>
      <c r="U72" s="31"/>
      <c r="V72" s="31"/>
      <c r="W72" s="31"/>
      <c r="X72" s="31"/>
      <c r="Y72" s="31"/>
      <c r="Z72" s="31"/>
      <c r="AA72" s="31"/>
      <c r="AB72" s="31"/>
      <c r="AC72" s="31"/>
      <c r="AD72" s="31"/>
      <c r="AE72" s="31"/>
    </row>
    <row r="73" spans="1:31" s="2" customFormat="1" ht="12" customHeight="1">
      <c r="A73" s="31"/>
      <c r="B73" s="32"/>
      <c r="C73" s="28" t="s">
        <v>102</v>
      </c>
      <c r="D73" s="31"/>
      <c r="E73" s="31"/>
      <c r="F73" s="31"/>
      <c r="G73" s="31"/>
      <c r="H73" s="31"/>
      <c r="I73" s="31"/>
      <c r="J73" s="31"/>
      <c r="K73" s="31"/>
      <c r="L73" s="89"/>
      <c r="S73" s="31"/>
      <c r="T73" s="31"/>
      <c r="U73" s="31"/>
      <c r="V73" s="31"/>
      <c r="W73" s="31"/>
      <c r="X73" s="31"/>
      <c r="Y73" s="31"/>
      <c r="Z73" s="31"/>
      <c r="AA73" s="31"/>
      <c r="AB73" s="31"/>
      <c r="AC73" s="31"/>
      <c r="AD73" s="31"/>
      <c r="AE73" s="31"/>
    </row>
    <row r="74" spans="1:31" s="2" customFormat="1" ht="16.5" customHeight="1">
      <c r="A74" s="31"/>
      <c r="B74" s="32"/>
      <c r="C74" s="31"/>
      <c r="D74" s="31"/>
      <c r="E74" s="324" t="str">
        <f>E9</f>
        <v>07 - VRN</v>
      </c>
      <c r="F74" s="357"/>
      <c r="G74" s="357"/>
      <c r="H74" s="357"/>
      <c r="I74" s="31"/>
      <c r="J74" s="31"/>
      <c r="K74" s="31"/>
      <c r="L74" s="89"/>
      <c r="S74" s="31"/>
      <c r="T74" s="31"/>
      <c r="U74" s="31"/>
      <c r="V74" s="31"/>
      <c r="W74" s="31"/>
      <c r="X74" s="31"/>
      <c r="Y74" s="31"/>
      <c r="Z74" s="31"/>
      <c r="AA74" s="31"/>
      <c r="AB74" s="31"/>
      <c r="AC74" s="31"/>
      <c r="AD74" s="31"/>
      <c r="AE74" s="31"/>
    </row>
    <row r="75" spans="1:31" s="2" customFormat="1" ht="6.95" customHeight="1">
      <c r="A75" s="31"/>
      <c r="B75" s="32"/>
      <c r="C75" s="31"/>
      <c r="D75" s="31"/>
      <c r="E75" s="31"/>
      <c r="F75" s="31"/>
      <c r="G75" s="31"/>
      <c r="H75" s="31"/>
      <c r="I75" s="31"/>
      <c r="J75" s="31"/>
      <c r="K75" s="31"/>
      <c r="L75" s="89"/>
      <c r="S75" s="31"/>
      <c r="T75" s="31"/>
      <c r="U75" s="31"/>
      <c r="V75" s="31"/>
      <c r="W75" s="31"/>
      <c r="X75" s="31"/>
      <c r="Y75" s="31"/>
      <c r="Z75" s="31"/>
      <c r="AA75" s="31"/>
      <c r="AB75" s="31"/>
      <c r="AC75" s="31"/>
      <c r="AD75" s="31"/>
      <c r="AE75" s="31"/>
    </row>
    <row r="76" spans="1:31" s="2" customFormat="1" ht="12" customHeight="1">
      <c r="A76" s="31"/>
      <c r="B76" s="32"/>
      <c r="C76" s="28" t="s">
        <v>19</v>
      </c>
      <c r="D76" s="31"/>
      <c r="E76" s="31"/>
      <c r="F76" s="26" t="str">
        <f>F12</f>
        <v>Nymburk</v>
      </c>
      <c r="G76" s="31"/>
      <c r="H76" s="31"/>
      <c r="I76" s="28" t="s">
        <v>21</v>
      </c>
      <c r="J76" s="49">
        <f>IF(J12="","",J12)</f>
        <v>44144</v>
      </c>
      <c r="K76" s="31"/>
      <c r="L76" s="89"/>
      <c r="S76" s="31"/>
      <c r="T76" s="31"/>
      <c r="U76" s="31"/>
      <c r="V76" s="31"/>
      <c r="W76" s="31"/>
      <c r="X76" s="31"/>
      <c r="Y76" s="31"/>
      <c r="Z76" s="31"/>
      <c r="AA76" s="31"/>
      <c r="AB76" s="31"/>
      <c r="AC76" s="31"/>
      <c r="AD76" s="31"/>
      <c r="AE76" s="31"/>
    </row>
    <row r="77" spans="1:31" s="2" customFormat="1" ht="6.95" customHeight="1">
      <c r="A77" s="31"/>
      <c r="B77" s="32"/>
      <c r="C77" s="31"/>
      <c r="D77" s="31"/>
      <c r="E77" s="31"/>
      <c r="F77" s="31"/>
      <c r="G77" s="31"/>
      <c r="H77" s="31"/>
      <c r="I77" s="31"/>
      <c r="J77" s="31"/>
      <c r="K77" s="31"/>
      <c r="L77" s="89"/>
      <c r="S77" s="31"/>
      <c r="T77" s="31"/>
      <c r="U77" s="31"/>
      <c r="V77" s="31"/>
      <c r="W77" s="31"/>
      <c r="X77" s="31"/>
      <c r="Y77" s="31"/>
      <c r="Z77" s="31"/>
      <c r="AA77" s="31"/>
      <c r="AB77" s="31"/>
      <c r="AC77" s="31"/>
      <c r="AD77" s="31"/>
      <c r="AE77" s="31"/>
    </row>
    <row r="78" spans="1:31" s="2" customFormat="1" ht="25.7" customHeight="1">
      <c r="A78" s="31"/>
      <c r="B78" s="32"/>
      <c r="C78" s="28" t="s">
        <v>22</v>
      </c>
      <c r="D78" s="31"/>
      <c r="E78" s="31"/>
      <c r="F78" s="26" t="str">
        <f>E15</f>
        <v>Nemocnice Nymburk s.r.o.</v>
      </c>
      <c r="G78" s="31"/>
      <c r="H78" s="31"/>
      <c r="I78" s="28" t="s">
        <v>30</v>
      </c>
      <c r="J78" s="29" t="str">
        <f>E21</f>
        <v>Ing. arch. Pavel Petrák</v>
      </c>
      <c r="K78" s="31"/>
      <c r="L78" s="89"/>
      <c r="S78" s="31"/>
      <c r="T78" s="31"/>
      <c r="U78" s="31"/>
      <c r="V78" s="31"/>
      <c r="W78" s="31"/>
      <c r="X78" s="31"/>
      <c r="Y78" s="31"/>
      <c r="Z78" s="31"/>
      <c r="AA78" s="31"/>
      <c r="AB78" s="31"/>
      <c r="AC78" s="31"/>
      <c r="AD78" s="31"/>
      <c r="AE78" s="31"/>
    </row>
    <row r="79" spans="1:31" s="2" customFormat="1" ht="15.2" customHeight="1">
      <c r="A79" s="31"/>
      <c r="B79" s="32"/>
      <c r="C79" s="28" t="s">
        <v>28</v>
      </c>
      <c r="D79" s="31"/>
      <c r="E79" s="31"/>
      <c r="F79" s="26" t="str">
        <f>IF(E18="","",E18)</f>
        <v xml:space="preserve"> </v>
      </c>
      <c r="G79" s="31"/>
      <c r="H79" s="31"/>
      <c r="I79" s="28" t="s">
        <v>35</v>
      </c>
      <c r="J79" s="29" t="str">
        <f>E24</f>
        <v xml:space="preserve"> </v>
      </c>
      <c r="K79" s="31"/>
      <c r="L79" s="89"/>
      <c r="S79" s="31"/>
      <c r="T79" s="31"/>
      <c r="U79" s="31"/>
      <c r="V79" s="31"/>
      <c r="W79" s="31"/>
      <c r="X79" s="31"/>
      <c r="Y79" s="31"/>
      <c r="Z79" s="31"/>
      <c r="AA79" s="31"/>
      <c r="AB79" s="31"/>
      <c r="AC79" s="31"/>
      <c r="AD79" s="31"/>
      <c r="AE79" s="31"/>
    </row>
    <row r="80" spans="1:31" s="2" customFormat="1" ht="10.35" customHeight="1">
      <c r="A80" s="31"/>
      <c r="B80" s="32"/>
      <c r="C80" s="31"/>
      <c r="D80" s="31"/>
      <c r="E80" s="31"/>
      <c r="F80" s="31"/>
      <c r="G80" s="31"/>
      <c r="H80" s="31"/>
      <c r="I80" s="31"/>
      <c r="J80" s="31"/>
      <c r="K80" s="31"/>
      <c r="L80" s="89"/>
      <c r="S80" s="31"/>
      <c r="T80" s="31"/>
      <c r="U80" s="31"/>
      <c r="V80" s="31"/>
      <c r="W80" s="31"/>
      <c r="X80" s="31"/>
      <c r="Y80" s="31"/>
      <c r="Z80" s="31"/>
      <c r="AA80" s="31"/>
      <c r="AB80" s="31"/>
      <c r="AC80" s="31"/>
      <c r="AD80" s="31"/>
      <c r="AE80" s="31"/>
    </row>
    <row r="81" spans="1:65" s="11" customFormat="1" ht="29.25" customHeight="1">
      <c r="A81" s="114"/>
      <c r="B81" s="115"/>
      <c r="C81" s="116" t="s">
        <v>124</v>
      </c>
      <c r="D81" s="117" t="s">
        <v>57</v>
      </c>
      <c r="E81" s="117" t="s">
        <v>53</v>
      </c>
      <c r="F81" s="117" t="s">
        <v>54</v>
      </c>
      <c r="G81" s="117" t="s">
        <v>125</v>
      </c>
      <c r="H81" s="117" t="s">
        <v>126</v>
      </c>
      <c r="I81" s="117" t="s">
        <v>127</v>
      </c>
      <c r="J81" s="117" t="s">
        <v>106</v>
      </c>
      <c r="K81" s="118" t="s">
        <v>128</v>
      </c>
      <c r="L81" s="119"/>
      <c r="M81" s="56" t="s">
        <v>3</v>
      </c>
      <c r="N81" s="57" t="s">
        <v>42</v>
      </c>
      <c r="O81" s="57" t="s">
        <v>129</v>
      </c>
      <c r="P81" s="57" t="s">
        <v>130</v>
      </c>
      <c r="Q81" s="57" t="s">
        <v>131</v>
      </c>
      <c r="R81" s="57" t="s">
        <v>132</v>
      </c>
      <c r="S81" s="57" t="s">
        <v>133</v>
      </c>
      <c r="T81" s="58" t="s">
        <v>134</v>
      </c>
      <c r="U81" s="114"/>
      <c r="V81" s="114"/>
      <c r="W81" s="114"/>
      <c r="X81" s="114"/>
      <c r="Y81" s="114"/>
      <c r="Z81" s="114"/>
      <c r="AA81" s="114"/>
      <c r="AB81" s="114"/>
      <c r="AC81" s="114"/>
      <c r="AD81" s="114"/>
      <c r="AE81" s="114"/>
    </row>
    <row r="82" spans="1:65" s="2" customFormat="1" ht="22.9" customHeight="1">
      <c r="A82" s="31"/>
      <c r="B82" s="32"/>
      <c r="C82" s="63" t="s">
        <v>135</v>
      </c>
      <c r="D82" s="31"/>
      <c r="E82" s="31"/>
      <c r="F82" s="31"/>
      <c r="G82" s="31"/>
      <c r="H82" s="31"/>
      <c r="I82" s="31"/>
      <c r="J82" s="120">
        <f>J83</f>
        <v>0</v>
      </c>
      <c r="K82" s="31"/>
      <c r="L82" s="32"/>
      <c r="M82" s="59"/>
      <c r="N82" s="50"/>
      <c r="O82" s="60"/>
      <c r="P82" s="121" t="e">
        <f>P83</f>
        <v>#REF!</v>
      </c>
      <c r="Q82" s="60"/>
      <c r="R82" s="121" t="e">
        <f>R83</f>
        <v>#REF!</v>
      </c>
      <c r="S82" s="60"/>
      <c r="T82" s="122" t="e">
        <f>T83</f>
        <v>#REF!</v>
      </c>
      <c r="U82" s="31"/>
      <c r="V82" s="31"/>
      <c r="W82" s="31"/>
      <c r="X82" s="31"/>
      <c r="Y82" s="31"/>
      <c r="Z82" s="31"/>
      <c r="AA82" s="31"/>
      <c r="AB82" s="31"/>
      <c r="AC82" s="31"/>
      <c r="AD82" s="31"/>
      <c r="AE82" s="31"/>
      <c r="AT82" s="19" t="s">
        <v>71</v>
      </c>
      <c r="AU82" s="19" t="s">
        <v>107</v>
      </c>
      <c r="BK82" s="123" t="e">
        <f>BK83</f>
        <v>#REF!</v>
      </c>
    </row>
    <row r="83" spans="1:65" s="12" customFormat="1" ht="25.9" customHeight="1">
      <c r="B83" s="124"/>
      <c r="D83" s="125" t="s">
        <v>71</v>
      </c>
      <c r="E83" s="126" t="s">
        <v>99</v>
      </c>
      <c r="F83" s="126" t="s">
        <v>750</v>
      </c>
      <c r="J83" s="127">
        <f>J84+J87</f>
        <v>0</v>
      </c>
      <c r="L83" s="124"/>
      <c r="M83" s="128"/>
      <c r="N83" s="129"/>
      <c r="O83" s="129"/>
      <c r="P83" s="130" t="e">
        <f>#REF!+P84+#REF!+P87+#REF!</f>
        <v>#REF!</v>
      </c>
      <c r="Q83" s="129"/>
      <c r="R83" s="130" t="e">
        <f>#REF!+R84+#REF!+R87+#REF!</f>
        <v>#REF!</v>
      </c>
      <c r="S83" s="129"/>
      <c r="T83" s="131" t="e">
        <f>#REF!+T84+#REF!+T87+#REF!</f>
        <v>#REF!</v>
      </c>
      <c r="AR83" s="125" t="s">
        <v>163</v>
      </c>
      <c r="AT83" s="132" t="s">
        <v>71</v>
      </c>
      <c r="AU83" s="132" t="s">
        <v>72</v>
      </c>
      <c r="AY83" s="125" t="s">
        <v>138</v>
      </c>
      <c r="BK83" s="133" t="e">
        <f>#REF!+BK84+#REF!+BK87+#REF!</f>
        <v>#REF!</v>
      </c>
    </row>
    <row r="84" spans="1:65" s="12" customFormat="1" ht="22.9" customHeight="1">
      <c r="B84" s="124"/>
      <c r="D84" s="125" t="s">
        <v>71</v>
      </c>
      <c r="E84" s="134" t="s">
        <v>1081</v>
      </c>
      <c r="F84" s="134" t="s">
        <v>1082</v>
      </c>
      <c r="J84" s="135">
        <f>BK84</f>
        <v>0</v>
      </c>
      <c r="L84" s="124"/>
      <c r="M84" s="128"/>
      <c r="N84" s="129"/>
      <c r="O84" s="129"/>
      <c r="P84" s="130">
        <f>SUM(P85:P86)</f>
        <v>0</v>
      </c>
      <c r="Q84" s="129"/>
      <c r="R84" s="130">
        <f>SUM(R85:R86)</f>
        <v>0</v>
      </c>
      <c r="S84" s="129"/>
      <c r="T84" s="131">
        <f>SUM(T85:T86)</f>
        <v>0</v>
      </c>
      <c r="AR84" s="125" t="s">
        <v>163</v>
      </c>
      <c r="AT84" s="132" t="s">
        <v>71</v>
      </c>
      <c r="AU84" s="132" t="s">
        <v>80</v>
      </c>
      <c r="AY84" s="125" t="s">
        <v>138</v>
      </c>
      <c r="BK84" s="133">
        <f>SUM(BK85:BK86)</f>
        <v>0</v>
      </c>
    </row>
    <row r="85" spans="1:65" s="2" customFormat="1" ht="14.45" customHeight="1">
      <c r="A85" s="31"/>
      <c r="B85" s="136"/>
      <c r="C85" s="137">
        <v>1</v>
      </c>
      <c r="D85" s="137" t="s">
        <v>141</v>
      </c>
      <c r="E85" s="138" t="s">
        <v>1083</v>
      </c>
      <c r="F85" s="139" t="s">
        <v>1082</v>
      </c>
      <c r="G85" s="140" t="s">
        <v>755</v>
      </c>
      <c r="H85" s="141">
        <v>1</v>
      </c>
      <c r="I85" s="142"/>
      <c r="J85" s="142">
        <f>ROUND(I85*H85,2)</f>
        <v>0</v>
      </c>
      <c r="K85" s="139" t="s">
        <v>148</v>
      </c>
      <c r="L85" s="32"/>
      <c r="M85" s="143" t="s">
        <v>3</v>
      </c>
      <c r="N85" s="144" t="s">
        <v>43</v>
      </c>
      <c r="O85" s="145">
        <v>0</v>
      </c>
      <c r="P85" s="145">
        <f>O85*H85</f>
        <v>0</v>
      </c>
      <c r="Q85" s="145">
        <v>0</v>
      </c>
      <c r="R85" s="145">
        <f>Q85*H85</f>
        <v>0</v>
      </c>
      <c r="S85" s="145">
        <v>0</v>
      </c>
      <c r="T85" s="146">
        <f>S85*H85</f>
        <v>0</v>
      </c>
      <c r="U85" s="31"/>
      <c r="V85" s="31"/>
      <c r="W85" s="31"/>
      <c r="X85" s="31"/>
      <c r="Y85" s="31"/>
      <c r="Z85" s="31"/>
      <c r="AA85" s="31"/>
      <c r="AB85" s="31"/>
      <c r="AC85" s="31"/>
      <c r="AD85" s="31"/>
      <c r="AE85" s="31"/>
      <c r="AR85" s="147" t="s">
        <v>756</v>
      </c>
      <c r="AT85" s="147" t="s">
        <v>141</v>
      </c>
      <c r="AU85" s="147" t="s">
        <v>82</v>
      </c>
      <c r="AY85" s="19" t="s">
        <v>138</v>
      </c>
      <c r="BE85" s="148">
        <f>IF(N85="základní",J85,0)</f>
        <v>0</v>
      </c>
      <c r="BF85" s="148">
        <f>IF(N85="snížená",J85,0)</f>
        <v>0</v>
      </c>
      <c r="BG85" s="148">
        <f>IF(N85="zákl. přenesená",J85,0)</f>
        <v>0</v>
      </c>
      <c r="BH85" s="148">
        <f>IF(N85="sníž. přenesená",J85,0)</f>
        <v>0</v>
      </c>
      <c r="BI85" s="148">
        <f>IF(N85="nulová",J85,0)</f>
        <v>0</v>
      </c>
      <c r="BJ85" s="19" t="s">
        <v>80</v>
      </c>
      <c r="BK85" s="148">
        <f>ROUND(I85*H85,2)</f>
        <v>0</v>
      </c>
      <c r="BL85" s="19" t="s">
        <v>756</v>
      </c>
      <c r="BM85" s="147" t="s">
        <v>1084</v>
      </c>
    </row>
    <row r="86" spans="1:65" s="2" customFormat="1" ht="29.25">
      <c r="A86" s="31"/>
      <c r="B86" s="32"/>
      <c r="C86" s="31"/>
      <c r="D86" s="150" t="s">
        <v>242</v>
      </c>
      <c r="E86" s="31"/>
      <c r="F86" s="163" t="s">
        <v>1085</v>
      </c>
      <c r="G86" s="31"/>
      <c r="H86" s="31"/>
      <c r="I86" s="31"/>
      <c r="J86" s="31"/>
      <c r="K86" s="31"/>
      <c r="L86" s="32"/>
      <c r="M86" s="164"/>
      <c r="N86" s="165"/>
      <c r="O86" s="52"/>
      <c r="P86" s="52"/>
      <c r="Q86" s="52"/>
      <c r="R86" s="52"/>
      <c r="S86" s="52"/>
      <c r="T86" s="53"/>
      <c r="U86" s="31"/>
      <c r="V86" s="31"/>
      <c r="W86" s="31"/>
      <c r="X86" s="31"/>
      <c r="Y86" s="31"/>
      <c r="Z86" s="31"/>
      <c r="AA86" s="31"/>
      <c r="AB86" s="31"/>
      <c r="AC86" s="31"/>
      <c r="AD86" s="31"/>
      <c r="AE86" s="31"/>
      <c r="AT86" s="19" t="s">
        <v>242</v>
      </c>
      <c r="AU86" s="19" t="s">
        <v>82</v>
      </c>
    </row>
    <row r="87" spans="1:65" s="12" customFormat="1" ht="22.9" customHeight="1">
      <c r="B87" s="124"/>
      <c r="D87" s="125" t="s">
        <v>71</v>
      </c>
      <c r="E87" s="134" t="s">
        <v>1282</v>
      </c>
      <c r="F87" s="134" t="s">
        <v>752</v>
      </c>
      <c r="J87" s="135">
        <f>BK87</f>
        <v>0</v>
      </c>
      <c r="L87" s="124"/>
      <c r="M87" s="128"/>
      <c r="N87" s="129"/>
      <c r="O87" s="129"/>
      <c r="P87" s="130">
        <f>SUM(P88:P89)</f>
        <v>0</v>
      </c>
      <c r="Q87" s="129"/>
      <c r="R87" s="130">
        <f>SUM(R88:R89)</f>
        <v>0</v>
      </c>
      <c r="S87" s="129"/>
      <c r="T87" s="131">
        <f>SUM(T88:T89)</f>
        <v>0</v>
      </c>
      <c r="AR87" s="125" t="s">
        <v>163</v>
      </c>
      <c r="AT87" s="132" t="s">
        <v>71</v>
      </c>
      <c r="AU87" s="132" t="s">
        <v>80</v>
      </c>
      <c r="AY87" s="125" t="s">
        <v>138</v>
      </c>
      <c r="BK87" s="133">
        <f>SUM(BK88:BK89)</f>
        <v>0</v>
      </c>
    </row>
    <row r="88" spans="1:65" s="2" customFormat="1" ht="14.45" customHeight="1">
      <c r="A88" s="31"/>
      <c r="B88" s="136"/>
      <c r="C88" s="137">
        <v>2</v>
      </c>
      <c r="D88" s="137" t="s">
        <v>141</v>
      </c>
      <c r="E88" s="138" t="s">
        <v>753</v>
      </c>
      <c r="F88" s="139" t="s">
        <v>1273</v>
      </c>
      <c r="G88" s="140" t="s">
        <v>755</v>
      </c>
      <c r="H88" s="141">
        <v>1</v>
      </c>
      <c r="I88" s="142"/>
      <c r="J88" s="142">
        <f>ROUND(I88*H88,2)</f>
        <v>0</v>
      </c>
      <c r="K88" s="139" t="s">
        <v>148</v>
      </c>
      <c r="L88" s="32"/>
      <c r="M88" s="143" t="s">
        <v>3</v>
      </c>
      <c r="N88" s="144" t="s">
        <v>43</v>
      </c>
      <c r="O88" s="145">
        <v>0</v>
      </c>
      <c r="P88" s="145">
        <f>O88*H88</f>
        <v>0</v>
      </c>
      <c r="Q88" s="145">
        <v>0</v>
      </c>
      <c r="R88" s="145">
        <f>Q88*H88</f>
        <v>0</v>
      </c>
      <c r="S88" s="145">
        <v>0</v>
      </c>
      <c r="T88" s="146">
        <f>S88*H88</f>
        <v>0</v>
      </c>
      <c r="U88" s="31"/>
      <c r="V88" s="31"/>
      <c r="W88" s="31"/>
      <c r="X88" s="31"/>
      <c r="Y88" s="31"/>
      <c r="Z88" s="31"/>
      <c r="AA88" s="31"/>
      <c r="AB88" s="31"/>
      <c r="AC88" s="31"/>
      <c r="AD88" s="31"/>
      <c r="AE88" s="31"/>
      <c r="AR88" s="147" t="s">
        <v>756</v>
      </c>
      <c r="AT88" s="147" t="s">
        <v>141</v>
      </c>
      <c r="AU88" s="147" t="s">
        <v>82</v>
      </c>
      <c r="AY88" s="19" t="s">
        <v>138</v>
      </c>
      <c r="BE88" s="148">
        <f>IF(N88="základní",J88,0)</f>
        <v>0</v>
      </c>
      <c r="BF88" s="148">
        <f>IF(N88="snížená",J88,0)</f>
        <v>0</v>
      </c>
      <c r="BG88" s="148">
        <f>IF(N88="zákl. přenesená",J88,0)</f>
        <v>0</v>
      </c>
      <c r="BH88" s="148">
        <f>IF(N88="sníž. přenesená",J88,0)</f>
        <v>0</v>
      </c>
      <c r="BI88" s="148">
        <f>IF(N88="nulová",J88,0)</f>
        <v>0</v>
      </c>
      <c r="BJ88" s="19" t="s">
        <v>80</v>
      </c>
      <c r="BK88" s="148">
        <f>ROUND(I88*H88,2)</f>
        <v>0</v>
      </c>
      <c r="BL88" s="19" t="s">
        <v>756</v>
      </c>
      <c r="BM88" s="147" t="s">
        <v>1086</v>
      </c>
    </row>
    <row r="89" spans="1:65" s="2" customFormat="1" ht="29.25">
      <c r="A89" s="31"/>
      <c r="B89" s="32"/>
      <c r="C89" s="31"/>
      <c r="D89" s="150" t="s">
        <v>242</v>
      </c>
      <c r="E89" s="31"/>
      <c r="F89" s="163" t="s">
        <v>1274</v>
      </c>
      <c r="G89" s="31"/>
      <c r="H89" s="31"/>
      <c r="I89" s="31"/>
      <c r="J89" s="31"/>
      <c r="K89" s="31"/>
      <c r="L89" s="32"/>
      <c r="M89" s="164"/>
      <c r="N89" s="165"/>
      <c r="O89" s="52"/>
      <c r="P89" s="52"/>
      <c r="Q89" s="52"/>
      <c r="R89" s="52"/>
      <c r="S89" s="52"/>
      <c r="T89" s="53"/>
      <c r="U89" s="31"/>
      <c r="V89" s="31"/>
      <c r="W89" s="31"/>
      <c r="X89" s="31"/>
      <c r="Y89" s="31"/>
      <c r="Z89" s="31"/>
      <c r="AA89" s="31"/>
      <c r="AB89" s="31"/>
      <c r="AC89" s="31"/>
      <c r="AD89" s="31"/>
      <c r="AE89" s="31"/>
      <c r="AT89" s="19" t="s">
        <v>242</v>
      </c>
      <c r="AU89" s="19" t="s">
        <v>82</v>
      </c>
    </row>
    <row r="90" spans="1:65" s="2" customFormat="1" ht="6.95" customHeight="1">
      <c r="A90" s="31"/>
      <c r="B90" s="41"/>
      <c r="C90" s="42"/>
      <c r="D90" s="42"/>
      <c r="E90" s="42"/>
      <c r="F90" s="42"/>
      <c r="G90" s="42"/>
      <c r="H90" s="42"/>
      <c r="I90" s="42"/>
      <c r="J90" s="42"/>
      <c r="K90" s="42"/>
      <c r="L90" s="32"/>
      <c r="M90" s="31"/>
      <c r="O90" s="31"/>
      <c r="P90" s="31"/>
      <c r="Q90" s="31"/>
      <c r="R90" s="31"/>
      <c r="S90" s="31"/>
      <c r="T90" s="31"/>
      <c r="U90" s="31"/>
      <c r="V90" s="31"/>
      <c r="W90" s="31"/>
      <c r="X90" s="31"/>
      <c r="Y90" s="31"/>
      <c r="Z90" s="31"/>
      <c r="AA90" s="31"/>
      <c r="AB90" s="31"/>
      <c r="AC90" s="31"/>
      <c r="AD90" s="31"/>
      <c r="AE90" s="31"/>
    </row>
  </sheetData>
  <autoFilter ref="C81:K89" xr:uid="{00000000-0009-0000-0000-000007000000}"/>
  <mergeCells count="9">
    <mergeCell ref="E50:H50"/>
    <mergeCell ref="E72:H72"/>
    <mergeCell ref="E74:H7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77" fitToHeight="100" orientation="portrait"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8"/>
  <sheetViews>
    <sheetView showGridLines="0" zoomScale="110" zoomScaleNormal="110" workbookViewId="0"/>
  </sheetViews>
  <sheetFormatPr defaultRowHeight="11.25"/>
  <cols>
    <col min="1" max="1" width="8.33203125" style="193" customWidth="1"/>
    <col min="2" max="2" width="1.6640625" style="193" customWidth="1"/>
    <col min="3" max="4" width="5" style="193" customWidth="1"/>
    <col min="5" max="5" width="11.6640625" style="193" customWidth="1"/>
    <col min="6" max="6" width="9.1640625" style="193" customWidth="1"/>
    <col min="7" max="7" width="5" style="193" customWidth="1"/>
    <col min="8" max="8" width="77.83203125" style="193" customWidth="1"/>
    <col min="9" max="10" width="20" style="193" customWidth="1"/>
    <col min="11" max="11" width="1.6640625" style="193" customWidth="1"/>
  </cols>
  <sheetData>
    <row r="1" spans="2:11" s="1" customFormat="1" ht="37.5" customHeight="1"/>
    <row r="2" spans="2:11" s="1" customFormat="1" ht="7.5" customHeight="1">
      <c r="B2" s="194"/>
      <c r="C2" s="195"/>
      <c r="D2" s="195"/>
      <c r="E2" s="195"/>
      <c r="F2" s="195"/>
      <c r="G2" s="195"/>
      <c r="H2" s="195"/>
      <c r="I2" s="195"/>
      <c r="J2" s="195"/>
      <c r="K2" s="196"/>
    </row>
    <row r="3" spans="2:11" s="17" customFormat="1" ht="45" customHeight="1">
      <c r="B3" s="197"/>
      <c r="C3" s="361" t="s">
        <v>1087</v>
      </c>
      <c r="D3" s="361"/>
      <c r="E3" s="361"/>
      <c r="F3" s="361"/>
      <c r="G3" s="361"/>
      <c r="H3" s="361"/>
      <c r="I3" s="361"/>
      <c r="J3" s="361"/>
      <c r="K3" s="198"/>
    </row>
    <row r="4" spans="2:11" s="1" customFormat="1" ht="25.5" customHeight="1">
      <c r="B4" s="199"/>
      <c r="C4" s="366" t="s">
        <v>1088</v>
      </c>
      <c r="D4" s="366"/>
      <c r="E4" s="366"/>
      <c r="F4" s="366"/>
      <c r="G4" s="366"/>
      <c r="H4" s="366"/>
      <c r="I4" s="366"/>
      <c r="J4" s="366"/>
      <c r="K4" s="200"/>
    </row>
    <row r="5" spans="2:11" s="1" customFormat="1" ht="5.25" customHeight="1">
      <c r="B5" s="199"/>
      <c r="C5" s="201"/>
      <c r="D5" s="201"/>
      <c r="E5" s="201"/>
      <c r="F5" s="201"/>
      <c r="G5" s="201"/>
      <c r="H5" s="201"/>
      <c r="I5" s="201"/>
      <c r="J5" s="201"/>
      <c r="K5" s="200"/>
    </row>
    <row r="6" spans="2:11" s="1" customFormat="1" ht="15" customHeight="1">
      <c r="B6" s="199"/>
      <c r="C6" s="365" t="s">
        <v>1089</v>
      </c>
      <c r="D6" s="365"/>
      <c r="E6" s="365"/>
      <c r="F6" s="365"/>
      <c r="G6" s="365"/>
      <c r="H6" s="365"/>
      <c r="I6" s="365"/>
      <c r="J6" s="365"/>
      <c r="K6" s="200"/>
    </row>
    <row r="7" spans="2:11" s="1" customFormat="1" ht="15" customHeight="1">
      <c r="B7" s="203"/>
      <c r="C7" s="365" t="s">
        <v>1090</v>
      </c>
      <c r="D7" s="365"/>
      <c r="E7" s="365"/>
      <c r="F7" s="365"/>
      <c r="G7" s="365"/>
      <c r="H7" s="365"/>
      <c r="I7" s="365"/>
      <c r="J7" s="365"/>
      <c r="K7" s="200"/>
    </row>
    <row r="8" spans="2:11" s="1" customFormat="1" ht="12.75" customHeight="1">
      <c r="B8" s="203"/>
      <c r="C8" s="202"/>
      <c r="D8" s="202"/>
      <c r="E8" s="202"/>
      <c r="F8" s="202"/>
      <c r="G8" s="202"/>
      <c r="H8" s="202"/>
      <c r="I8" s="202"/>
      <c r="J8" s="202"/>
      <c r="K8" s="200"/>
    </row>
    <row r="9" spans="2:11" s="1" customFormat="1" ht="15" customHeight="1">
      <c r="B9" s="203"/>
      <c r="C9" s="365" t="s">
        <v>1091</v>
      </c>
      <c r="D9" s="365"/>
      <c r="E9" s="365"/>
      <c r="F9" s="365"/>
      <c r="G9" s="365"/>
      <c r="H9" s="365"/>
      <c r="I9" s="365"/>
      <c r="J9" s="365"/>
      <c r="K9" s="200"/>
    </row>
    <row r="10" spans="2:11" s="1" customFormat="1" ht="15" customHeight="1">
      <c r="B10" s="203"/>
      <c r="C10" s="202"/>
      <c r="D10" s="365" t="s">
        <v>1092</v>
      </c>
      <c r="E10" s="365"/>
      <c r="F10" s="365"/>
      <c r="G10" s="365"/>
      <c r="H10" s="365"/>
      <c r="I10" s="365"/>
      <c r="J10" s="365"/>
      <c r="K10" s="200"/>
    </row>
    <row r="11" spans="2:11" s="1" customFormat="1" ht="15" customHeight="1">
      <c r="B11" s="203"/>
      <c r="C11" s="204"/>
      <c r="D11" s="365" t="s">
        <v>1093</v>
      </c>
      <c r="E11" s="365"/>
      <c r="F11" s="365"/>
      <c r="G11" s="365"/>
      <c r="H11" s="365"/>
      <c r="I11" s="365"/>
      <c r="J11" s="365"/>
      <c r="K11" s="200"/>
    </row>
    <row r="12" spans="2:11" s="1" customFormat="1" ht="15" customHeight="1">
      <c r="B12" s="203"/>
      <c r="C12" s="204"/>
      <c r="D12" s="202"/>
      <c r="E12" s="202"/>
      <c r="F12" s="202"/>
      <c r="G12" s="202"/>
      <c r="H12" s="202"/>
      <c r="I12" s="202"/>
      <c r="J12" s="202"/>
      <c r="K12" s="200"/>
    </row>
    <row r="13" spans="2:11" s="1" customFormat="1" ht="15" customHeight="1">
      <c r="B13" s="203"/>
      <c r="C13" s="204"/>
      <c r="D13" s="205" t="s">
        <v>1094</v>
      </c>
      <c r="E13" s="202"/>
      <c r="F13" s="202"/>
      <c r="G13" s="202"/>
      <c r="H13" s="202"/>
      <c r="I13" s="202"/>
      <c r="J13" s="202"/>
      <c r="K13" s="200"/>
    </row>
    <row r="14" spans="2:11" s="1" customFormat="1" ht="12.75" customHeight="1">
      <c r="B14" s="203"/>
      <c r="C14" s="204"/>
      <c r="D14" s="204"/>
      <c r="E14" s="204"/>
      <c r="F14" s="204"/>
      <c r="G14" s="204"/>
      <c r="H14" s="204"/>
      <c r="I14" s="204"/>
      <c r="J14" s="204"/>
      <c r="K14" s="200"/>
    </row>
    <row r="15" spans="2:11" s="1" customFormat="1" ht="15" customHeight="1">
      <c r="B15" s="203"/>
      <c r="C15" s="204"/>
      <c r="D15" s="365" t="s">
        <v>1095</v>
      </c>
      <c r="E15" s="365"/>
      <c r="F15" s="365"/>
      <c r="G15" s="365"/>
      <c r="H15" s="365"/>
      <c r="I15" s="365"/>
      <c r="J15" s="365"/>
      <c r="K15" s="200"/>
    </row>
    <row r="16" spans="2:11" s="1" customFormat="1" ht="15" customHeight="1">
      <c r="B16" s="203"/>
      <c r="C16" s="204"/>
      <c r="D16" s="365" t="s">
        <v>1096</v>
      </c>
      <c r="E16" s="365"/>
      <c r="F16" s="365"/>
      <c r="G16" s="365"/>
      <c r="H16" s="365"/>
      <c r="I16" s="365"/>
      <c r="J16" s="365"/>
      <c r="K16" s="200"/>
    </row>
    <row r="17" spans="2:11" s="1" customFormat="1" ht="15" customHeight="1">
      <c r="B17" s="203"/>
      <c r="C17" s="204"/>
      <c r="D17" s="365" t="s">
        <v>1097</v>
      </c>
      <c r="E17" s="365"/>
      <c r="F17" s="365"/>
      <c r="G17" s="365"/>
      <c r="H17" s="365"/>
      <c r="I17" s="365"/>
      <c r="J17" s="365"/>
      <c r="K17" s="200"/>
    </row>
    <row r="18" spans="2:11" s="1" customFormat="1" ht="15" customHeight="1">
      <c r="B18" s="203"/>
      <c r="C18" s="204"/>
      <c r="D18" s="204"/>
      <c r="E18" s="206" t="s">
        <v>79</v>
      </c>
      <c r="F18" s="365" t="s">
        <v>1098</v>
      </c>
      <c r="G18" s="365"/>
      <c r="H18" s="365"/>
      <c r="I18" s="365"/>
      <c r="J18" s="365"/>
      <c r="K18" s="200"/>
    </row>
    <row r="19" spans="2:11" s="1" customFormat="1" ht="15" customHeight="1">
      <c r="B19" s="203"/>
      <c r="C19" s="204"/>
      <c r="D19" s="204"/>
      <c r="E19" s="206" t="s">
        <v>1099</v>
      </c>
      <c r="F19" s="365" t="s">
        <v>1100</v>
      </c>
      <c r="G19" s="365"/>
      <c r="H19" s="365"/>
      <c r="I19" s="365"/>
      <c r="J19" s="365"/>
      <c r="K19" s="200"/>
    </row>
    <row r="20" spans="2:11" s="1" customFormat="1" ht="15" customHeight="1">
      <c r="B20" s="203"/>
      <c r="C20" s="204"/>
      <c r="D20" s="204"/>
      <c r="E20" s="206" t="s">
        <v>1101</v>
      </c>
      <c r="F20" s="365" t="s">
        <v>1102</v>
      </c>
      <c r="G20" s="365"/>
      <c r="H20" s="365"/>
      <c r="I20" s="365"/>
      <c r="J20" s="365"/>
      <c r="K20" s="200"/>
    </row>
    <row r="21" spans="2:11" s="1" customFormat="1" ht="15" customHeight="1">
      <c r="B21" s="203"/>
      <c r="C21" s="204"/>
      <c r="D21" s="204"/>
      <c r="E21" s="206" t="s">
        <v>1103</v>
      </c>
      <c r="F21" s="365" t="s">
        <v>1104</v>
      </c>
      <c r="G21" s="365"/>
      <c r="H21" s="365"/>
      <c r="I21" s="365"/>
      <c r="J21" s="365"/>
      <c r="K21" s="200"/>
    </row>
    <row r="22" spans="2:11" s="1" customFormat="1" ht="15" customHeight="1">
      <c r="B22" s="203"/>
      <c r="C22" s="204"/>
      <c r="D22" s="204"/>
      <c r="E22" s="206" t="s">
        <v>1105</v>
      </c>
      <c r="F22" s="365" t="s">
        <v>1106</v>
      </c>
      <c r="G22" s="365"/>
      <c r="H22" s="365"/>
      <c r="I22" s="365"/>
      <c r="J22" s="365"/>
      <c r="K22" s="200"/>
    </row>
    <row r="23" spans="2:11" s="1" customFormat="1" ht="15" customHeight="1">
      <c r="B23" s="203"/>
      <c r="C23" s="204"/>
      <c r="D23" s="204"/>
      <c r="E23" s="206" t="s">
        <v>1107</v>
      </c>
      <c r="F23" s="365" t="s">
        <v>1108</v>
      </c>
      <c r="G23" s="365"/>
      <c r="H23" s="365"/>
      <c r="I23" s="365"/>
      <c r="J23" s="365"/>
      <c r="K23" s="200"/>
    </row>
    <row r="24" spans="2:11" s="1" customFormat="1" ht="12.75" customHeight="1">
      <c r="B24" s="203"/>
      <c r="C24" s="204"/>
      <c r="D24" s="204"/>
      <c r="E24" s="204"/>
      <c r="F24" s="204"/>
      <c r="G24" s="204"/>
      <c r="H24" s="204"/>
      <c r="I24" s="204"/>
      <c r="J24" s="204"/>
      <c r="K24" s="200"/>
    </row>
    <row r="25" spans="2:11" s="1" customFormat="1" ht="15" customHeight="1">
      <c r="B25" s="203"/>
      <c r="C25" s="365" t="s">
        <v>1109</v>
      </c>
      <c r="D25" s="365"/>
      <c r="E25" s="365"/>
      <c r="F25" s="365"/>
      <c r="G25" s="365"/>
      <c r="H25" s="365"/>
      <c r="I25" s="365"/>
      <c r="J25" s="365"/>
      <c r="K25" s="200"/>
    </row>
    <row r="26" spans="2:11" s="1" customFormat="1" ht="15" customHeight="1">
      <c r="B26" s="203"/>
      <c r="C26" s="365" t="s">
        <v>1110</v>
      </c>
      <c r="D26" s="365"/>
      <c r="E26" s="365"/>
      <c r="F26" s="365"/>
      <c r="G26" s="365"/>
      <c r="H26" s="365"/>
      <c r="I26" s="365"/>
      <c r="J26" s="365"/>
      <c r="K26" s="200"/>
    </row>
    <row r="27" spans="2:11" s="1" customFormat="1" ht="15" customHeight="1">
      <c r="B27" s="203"/>
      <c r="C27" s="202"/>
      <c r="D27" s="365" t="s">
        <v>1111</v>
      </c>
      <c r="E27" s="365"/>
      <c r="F27" s="365"/>
      <c r="G27" s="365"/>
      <c r="H27" s="365"/>
      <c r="I27" s="365"/>
      <c r="J27" s="365"/>
      <c r="K27" s="200"/>
    </row>
    <row r="28" spans="2:11" s="1" customFormat="1" ht="15" customHeight="1">
      <c r="B28" s="203"/>
      <c r="C28" s="204"/>
      <c r="D28" s="365" t="s">
        <v>1112</v>
      </c>
      <c r="E28" s="365"/>
      <c r="F28" s="365"/>
      <c r="G28" s="365"/>
      <c r="H28" s="365"/>
      <c r="I28" s="365"/>
      <c r="J28" s="365"/>
      <c r="K28" s="200"/>
    </row>
    <row r="29" spans="2:11" s="1" customFormat="1" ht="12.75" customHeight="1">
      <c r="B29" s="203"/>
      <c r="C29" s="204"/>
      <c r="D29" s="204"/>
      <c r="E29" s="204"/>
      <c r="F29" s="204"/>
      <c r="G29" s="204"/>
      <c r="H29" s="204"/>
      <c r="I29" s="204"/>
      <c r="J29" s="204"/>
      <c r="K29" s="200"/>
    </row>
    <row r="30" spans="2:11" s="1" customFormat="1" ht="15" customHeight="1">
      <c r="B30" s="203"/>
      <c r="C30" s="204"/>
      <c r="D30" s="365" t="s">
        <v>1113</v>
      </c>
      <c r="E30" s="365"/>
      <c r="F30" s="365"/>
      <c r="G30" s="365"/>
      <c r="H30" s="365"/>
      <c r="I30" s="365"/>
      <c r="J30" s="365"/>
      <c r="K30" s="200"/>
    </row>
    <row r="31" spans="2:11" s="1" customFormat="1" ht="15" customHeight="1">
      <c r="B31" s="203"/>
      <c r="C31" s="204"/>
      <c r="D31" s="365" t="s">
        <v>1114</v>
      </c>
      <c r="E31" s="365"/>
      <c r="F31" s="365"/>
      <c r="G31" s="365"/>
      <c r="H31" s="365"/>
      <c r="I31" s="365"/>
      <c r="J31" s="365"/>
      <c r="K31" s="200"/>
    </row>
    <row r="32" spans="2:11" s="1" customFormat="1" ht="12.75" customHeight="1">
      <c r="B32" s="203"/>
      <c r="C32" s="204"/>
      <c r="D32" s="204"/>
      <c r="E32" s="204"/>
      <c r="F32" s="204"/>
      <c r="G32" s="204"/>
      <c r="H32" s="204"/>
      <c r="I32" s="204"/>
      <c r="J32" s="204"/>
      <c r="K32" s="200"/>
    </row>
    <row r="33" spans="2:11" s="1" customFormat="1" ht="15" customHeight="1">
      <c r="B33" s="203"/>
      <c r="C33" s="204"/>
      <c r="D33" s="365" t="s">
        <v>1115</v>
      </c>
      <c r="E33" s="365"/>
      <c r="F33" s="365"/>
      <c r="G33" s="365"/>
      <c r="H33" s="365"/>
      <c r="I33" s="365"/>
      <c r="J33" s="365"/>
      <c r="K33" s="200"/>
    </row>
    <row r="34" spans="2:11" s="1" customFormat="1" ht="15" customHeight="1">
      <c r="B34" s="203"/>
      <c r="C34" s="204"/>
      <c r="D34" s="365" t="s">
        <v>1116</v>
      </c>
      <c r="E34" s="365"/>
      <c r="F34" s="365"/>
      <c r="G34" s="365"/>
      <c r="H34" s="365"/>
      <c r="I34" s="365"/>
      <c r="J34" s="365"/>
      <c r="K34" s="200"/>
    </row>
    <row r="35" spans="2:11" s="1" customFormat="1" ht="15" customHeight="1">
      <c r="B35" s="203"/>
      <c r="C35" s="204"/>
      <c r="D35" s="365" t="s">
        <v>1117</v>
      </c>
      <c r="E35" s="365"/>
      <c r="F35" s="365"/>
      <c r="G35" s="365"/>
      <c r="H35" s="365"/>
      <c r="I35" s="365"/>
      <c r="J35" s="365"/>
      <c r="K35" s="200"/>
    </row>
    <row r="36" spans="2:11" s="1" customFormat="1" ht="15" customHeight="1">
      <c r="B36" s="203"/>
      <c r="C36" s="204"/>
      <c r="D36" s="202"/>
      <c r="E36" s="205" t="s">
        <v>124</v>
      </c>
      <c r="F36" s="202"/>
      <c r="G36" s="365" t="s">
        <v>1118</v>
      </c>
      <c r="H36" s="365"/>
      <c r="I36" s="365"/>
      <c r="J36" s="365"/>
      <c r="K36" s="200"/>
    </row>
    <row r="37" spans="2:11" s="1" customFormat="1" ht="30.75" customHeight="1">
      <c r="B37" s="203"/>
      <c r="C37" s="204"/>
      <c r="D37" s="202"/>
      <c r="E37" s="205" t="s">
        <v>1119</v>
      </c>
      <c r="F37" s="202"/>
      <c r="G37" s="365" t="s">
        <v>1120</v>
      </c>
      <c r="H37" s="365"/>
      <c r="I37" s="365"/>
      <c r="J37" s="365"/>
      <c r="K37" s="200"/>
    </row>
    <row r="38" spans="2:11" s="1" customFormat="1" ht="15" customHeight="1">
      <c r="B38" s="203"/>
      <c r="C38" s="204"/>
      <c r="D38" s="202"/>
      <c r="E38" s="205" t="s">
        <v>53</v>
      </c>
      <c r="F38" s="202"/>
      <c r="G38" s="365" t="s">
        <v>1121</v>
      </c>
      <c r="H38" s="365"/>
      <c r="I38" s="365"/>
      <c r="J38" s="365"/>
      <c r="K38" s="200"/>
    </row>
    <row r="39" spans="2:11" s="1" customFormat="1" ht="15" customHeight="1">
      <c r="B39" s="203"/>
      <c r="C39" s="204"/>
      <c r="D39" s="202"/>
      <c r="E39" s="205" t="s">
        <v>54</v>
      </c>
      <c r="F39" s="202"/>
      <c r="G39" s="365" t="s">
        <v>1122</v>
      </c>
      <c r="H39" s="365"/>
      <c r="I39" s="365"/>
      <c r="J39" s="365"/>
      <c r="K39" s="200"/>
    </row>
    <row r="40" spans="2:11" s="1" customFormat="1" ht="15" customHeight="1">
      <c r="B40" s="203"/>
      <c r="C40" s="204"/>
      <c r="D40" s="202"/>
      <c r="E40" s="205" t="s">
        <v>125</v>
      </c>
      <c r="F40" s="202"/>
      <c r="G40" s="365" t="s">
        <v>1123</v>
      </c>
      <c r="H40" s="365"/>
      <c r="I40" s="365"/>
      <c r="J40" s="365"/>
      <c r="K40" s="200"/>
    </row>
    <row r="41" spans="2:11" s="1" customFormat="1" ht="15" customHeight="1">
      <c r="B41" s="203"/>
      <c r="C41" s="204"/>
      <c r="D41" s="202"/>
      <c r="E41" s="205" t="s">
        <v>126</v>
      </c>
      <c r="F41" s="202"/>
      <c r="G41" s="365" t="s">
        <v>1124</v>
      </c>
      <c r="H41" s="365"/>
      <c r="I41" s="365"/>
      <c r="J41" s="365"/>
      <c r="K41" s="200"/>
    </row>
    <row r="42" spans="2:11" s="1" customFormat="1" ht="15" customHeight="1">
      <c r="B42" s="203"/>
      <c r="C42" s="204"/>
      <c r="D42" s="202"/>
      <c r="E42" s="205" t="s">
        <v>1125</v>
      </c>
      <c r="F42" s="202"/>
      <c r="G42" s="365" t="s">
        <v>1126</v>
      </c>
      <c r="H42" s="365"/>
      <c r="I42" s="365"/>
      <c r="J42" s="365"/>
      <c r="K42" s="200"/>
    </row>
    <row r="43" spans="2:11" s="1" customFormat="1" ht="15" customHeight="1">
      <c r="B43" s="203"/>
      <c r="C43" s="204"/>
      <c r="D43" s="202"/>
      <c r="E43" s="205"/>
      <c r="F43" s="202"/>
      <c r="G43" s="365" t="s">
        <v>1127</v>
      </c>
      <c r="H43" s="365"/>
      <c r="I43" s="365"/>
      <c r="J43" s="365"/>
      <c r="K43" s="200"/>
    </row>
    <row r="44" spans="2:11" s="1" customFormat="1" ht="15" customHeight="1">
      <c r="B44" s="203"/>
      <c r="C44" s="204"/>
      <c r="D44" s="202"/>
      <c r="E44" s="205" t="s">
        <v>1128</v>
      </c>
      <c r="F44" s="202"/>
      <c r="G44" s="365" t="s">
        <v>1129</v>
      </c>
      <c r="H44" s="365"/>
      <c r="I44" s="365"/>
      <c r="J44" s="365"/>
      <c r="K44" s="200"/>
    </row>
    <row r="45" spans="2:11" s="1" customFormat="1" ht="15" customHeight="1">
      <c r="B45" s="203"/>
      <c r="C45" s="204"/>
      <c r="D45" s="202"/>
      <c r="E45" s="205" t="s">
        <v>128</v>
      </c>
      <c r="F45" s="202"/>
      <c r="G45" s="365" t="s">
        <v>1130</v>
      </c>
      <c r="H45" s="365"/>
      <c r="I45" s="365"/>
      <c r="J45" s="365"/>
      <c r="K45" s="200"/>
    </row>
    <row r="46" spans="2:11" s="1" customFormat="1" ht="12.75" customHeight="1">
      <c r="B46" s="203"/>
      <c r="C46" s="204"/>
      <c r="D46" s="202"/>
      <c r="E46" s="202"/>
      <c r="F46" s="202"/>
      <c r="G46" s="202"/>
      <c r="H46" s="202"/>
      <c r="I46" s="202"/>
      <c r="J46" s="202"/>
      <c r="K46" s="200"/>
    </row>
    <row r="47" spans="2:11" s="1" customFormat="1" ht="15" customHeight="1">
      <c r="B47" s="203"/>
      <c r="C47" s="204"/>
      <c r="D47" s="365" t="s">
        <v>1131</v>
      </c>
      <c r="E47" s="365"/>
      <c r="F47" s="365"/>
      <c r="G47" s="365"/>
      <c r="H47" s="365"/>
      <c r="I47" s="365"/>
      <c r="J47" s="365"/>
      <c r="K47" s="200"/>
    </row>
    <row r="48" spans="2:11" s="1" customFormat="1" ht="15" customHeight="1">
      <c r="B48" s="203"/>
      <c r="C48" s="204"/>
      <c r="D48" s="204"/>
      <c r="E48" s="365" t="s">
        <v>1132</v>
      </c>
      <c r="F48" s="365"/>
      <c r="G48" s="365"/>
      <c r="H48" s="365"/>
      <c r="I48" s="365"/>
      <c r="J48" s="365"/>
      <c r="K48" s="200"/>
    </row>
    <row r="49" spans="2:11" s="1" customFormat="1" ht="15" customHeight="1">
      <c r="B49" s="203"/>
      <c r="C49" s="204"/>
      <c r="D49" s="204"/>
      <c r="E49" s="365" t="s">
        <v>1133</v>
      </c>
      <c r="F49" s="365"/>
      <c r="G49" s="365"/>
      <c r="H49" s="365"/>
      <c r="I49" s="365"/>
      <c r="J49" s="365"/>
      <c r="K49" s="200"/>
    </row>
    <row r="50" spans="2:11" s="1" customFormat="1" ht="15" customHeight="1">
      <c r="B50" s="203"/>
      <c r="C50" s="204"/>
      <c r="D50" s="204"/>
      <c r="E50" s="365" t="s">
        <v>1134</v>
      </c>
      <c r="F50" s="365"/>
      <c r="G50" s="365"/>
      <c r="H50" s="365"/>
      <c r="I50" s="365"/>
      <c r="J50" s="365"/>
      <c r="K50" s="200"/>
    </row>
    <row r="51" spans="2:11" s="1" customFormat="1" ht="15" customHeight="1">
      <c r="B51" s="203"/>
      <c r="C51" s="204"/>
      <c r="D51" s="365" t="s">
        <v>1135</v>
      </c>
      <c r="E51" s="365"/>
      <c r="F51" s="365"/>
      <c r="G51" s="365"/>
      <c r="H51" s="365"/>
      <c r="I51" s="365"/>
      <c r="J51" s="365"/>
      <c r="K51" s="200"/>
    </row>
    <row r="52" spans="2:11" s="1" customFormat="1" ht="25.5" customHeight="1">
      <c r="B52" s="199"/>
      <c r="C52" s="366" t="s">
        <v>1136</v>
      </c>
      <c r="D52" s="366"/>
      <c r="E52" s="366"/>
      <c r="F52" s="366"/>
      <c r="G52" s="366"/>
      <c r="H52" s="366"/>
      <c r="I52" s="366"/>
      <c r="J52" s="366"/>
      <c r="K52" s="200"/>
    </row>
    <row r="53" spans="2:11" s="1" customFormat="1" ht="5.25" customHeight="1">
      <c r="B53" s="199"/>
      <c r="C53" s="201"/>
      <c r="D53" s="201"/>
      <c r="E53" s="201"/>
      <c r="F53" s="201"/>
      <c r="G53" s="201"/>
      <c r="H53" s="201"/>
      <c r="I53" s="201"/>
      <c r="J53" s="201"/>
      <c r="K53" s="200"/>
    </row>
    <row r="54" spans="2:11" s="1" customFormat="1" ht="15" customHeight="1">
      <c r="B54" s="199"/>
      <c r="C54" s="365" t="s">
        <v>1137</v>
      </c>
      <c r="D54" s="365"/>
      <c r="E54" s="365"/>
      <c r="F54" s="365"/>
      <c r="G54" s="365"/>
      <c r="H54" s="365"/>
      <c r="I54" s="365"/>
      <c r="J54" s="365"/>
      <c r="K54" s="200"/>
    </row>
    <row r="55" spans="2:11" s="1" customFormat="1" ht="15" customHeight="1">
      <c r="B55" s="199"/>
      <c r="C55" s="365" t="s">
        <v>1138</v>
      </c>
      <c r="D55" s="365"/>
      <c r="E55" s="365"/>
      <c r="F55" s="365"/>
      <c r="G55" s="365"/>
      <c r="H55" s="365"/>
      <c r="I55" s="365"/>
      <c r="J55" s="365"/>
      <c r="K55" s="200"/>
    </row>
    <row r="56" spans="2:11" s="1" customFormat="1" ht="12.75" customHeight="1">
      <c r="B56" s="199"/>
      <c r="C56" s="202"/>
      <c r="D56" s="202"/>
      <c r="E56" s="202"/>
      <c r="F56" s="202"/>
      <c r="G56" s="202"/>
      <c r="H56" s="202"/>
      <c r="I56" s="202"/>
      <c r="J56" s="202"/>
      <c r="K56" s="200"/>
    </row>
    <row r="57" spans="2:11" s="1" customFormat="1" ht="15" customHeight="1">
      <c r="B57" s="199"/>
      <c r="C57" s="365" t="s">
        <v>1139</v>
      </c>
      <c r="D57" s="365"/>
      <c r="E57" s="365"/>
      <c r="F57" s="365"/>
      <c r="G57" s="365"/>
      <c r="H57" s="365"/>
      <c r="I57" s="365"/>
      <c r="J57" s="365"/>
      <c r="K57" s="200"/>
    </row>
    <row r="58" spans="2:11" s="1" customFormat="1" ht="15" customHeight="1">
      <c r="B58" s="199"/>
      <c r="C58" s="204"/>
      <c r="D58" s="365" t="s">
        <v>1140</v>
      </c>
      <c r="E58" s="365"/>
      <c r="F58" s="365"/>
      <c r="G58" s="365"/>
      <c r="H58" s="365"/>
      <c r="I58" s="365"/>
      <c r="J58" s="365"/>
      <c r="K58" s="200"/>
    </row>
    <row r="59" spans="2:11" s="1" customFormat="1" ht="15" customHeight="1">
      <c r="B59" s="199"/>
      <c r="C59" s="204"/>
      <c r="D59" s="365" t="s">
        <v>1141</v>
      </c>
      <c r="E59" s="365"/>
      <c r="F59" s="365"/>
      <c r="G59" s="365"/>
      <c r="H59" s="365"/>
      <c r="I59" s="365"/>
      <c r="J59" s="365"/>
      <c r="K59" s="200"/>
    </row>
    <row r="60" spans="2:11" s="1" customFormat="1" ht="15" customHeight="1">
      <c r="B60" s="199"/>
      <c r="C60" s="204"/>
      <c r="D60" s="365" t="s">
        <v>1142</v>
      </c>
      <c r="E60" s="365"/>
      <c r="F60" s="365"/>
      <c r="G60" s="365"/>
      <c r="H60" s="365"/>
      <c r="I60" s="365"/>
      <c r="J60" s="365"/>
      <c r="K60" s="200"/>
    </row>
    <row r="61" spans="2:11" s="1" customFormat="1" ht="15" customHeight="1">
      <c r="B61" s="199"/>
      <c r="C61" s="204"/>
      <c r="D61" s="365" t="s">
        <v>1143</v>
      </c>
      <c r="E61" s="365"/>
      <c r="F61" s="365"/>
      <c r="G61" s="365"/>
      <c r="H61" s="365"/>
      <c r="I61" s="365"/>
      <c r="J61" s="365"/>
      <c r="K61" s="200"/>
    </row>
    <row r="62" spans="2:11" s="1" customFormat="1" ht="15" customHeight="1">
      <c r="B62" s="199"/>
      <c r="C62" s="204"/>
      <c r="D62" s="367" t="s">
        <v>1144</v>
      </c>
      <c r="E62" s="367"/>
      <c r="F62" s="367"/>
      <c r="G62" s="367"/>
      <c r="H62" s="367"/>
      <c r="I62" s="367"/>
      <c r="J62" s="367"/>
      <c r="K62" s="200"/>
    </row>
    <row r="63" spans="2:11" s="1" customFormat="1" ht="15" customHeight="1">
      <c r="B63" s="199"/>
      <c r="C63" s="204"/>
      <c r="D63" s="365" t="s">
        <v>1145</v>
      </c>
      <c r="E63" s="365"/>
      <c r="F63" s="365"/>
      <c r="G63" s="365"/>
      <c r="H63" s="365"/>
      <c r="I63" s="365"/>
      <c r="J63" s="365"/>
      <c r="K63" s="200"/>
    </row>
    <row r="64" spans="2:11" s="1" customFormat="1" ht="12.75" customHeight="1">
      <c r="B64" s="199"/>
      <c r="C64" s="204"/>
      <c r="D64" s="204"/>
      <c r="E64" s="207"/>
      <c r="F64" s="204"/>
      <c r="G64" s="204"/>
      <c r="H64" s="204"/>
      <c r="I64" s="204"/>
      <c r="J64" s="204"/>
      <c r="K64" s="200"/>
    </row>
    <row r="65" spans="2:11" s="1" customFormat="1" ht="15" customHeight="1">
      <c r="B65" s="199"/>
      <c r="C65" s="204"/>
      <c r="D65" s="365" t="s">
        <v>1146</v>
      </c>
      <c r="E65" s="365"/>
      <c r="F65" s="365"/>
      <c r="G65" s="365"/>
      <c r="H65" s="365"/>
      <c r="I65" s="365"/>
      <c r="J65" s="365"/>
      <c r="K65" s="200"/>
    </row>
    <row r="66" spans="2:11" s="1" customFormat="1" ht="15" customHeight="1">
      <c r="B66" s="199"/>
      <c r="C66" s="204"/>
      <c r="D66" s="367" t="s">
        <v>1147</v>
      </c>
      <c r="E66" s="367"/>
      <c r="F66" s="367"/>
      <c r="G66" s="367"/>
      <c r="H66" s="367"/>
      <c r="I66" s="367"/>
      <c r="J66" s="367"/>
      <c r="K66" s="200"/>
    </row>
    <row r="67" spans="2:11" s="1" customFormat="1" ht="15" customHeight="1">
      <c r="B67" s="199"/>
      <c r="C67" s="204"/>
      <c r="D67" s="365" t="s">
        <v>1148</v>
      </c>
      <c r="E67" s="365"/>
      <c r="F67" s="365"/>
      <c r="G67" s="365"/>
      <c r="H67" s="365"/>
      <c r="I67" s="365"/>
      <c r="J67" s="365"/>
      <c r="K67" s="200"/>
    </row>
    <row r="68" spans="2:11" s="1" customFormat="1" ht="15" customHeight="1">
      <c r="B68" s="199"/>
      <c r="C68" s="204"/>
      <c r="D68" s="365" t="s">
        <v>1149</v>
      </c>
      <c r="E68" s="365"/>
      <c r="F68" s="365"/>
      <c r="G68" s="365"/>
      <c r="H68" s="365"/>
      <c r="I68" s="365"/>
      <c r="J68" s="365"/>
      <c r="K68" s="200"/>
    </row>
    <row r="69" spans="2:11" s="1" customFormat="1" ht="15" customHeight="1">
      <c r="B69" s="199"/>
      <c r="C69" s="204"/>
      <c r="D69" s="365" t="s">
        <v>1150</v>
      </c>
      <c r="E69" s="365"/>
      <c r="F69" s="365"/>
      <c r="G69" s="365"/>
      <c r="H69" s="365"/>
      <c r="I69" s="365"/>
      <c r="J69" s="365"/>
      <c r="K69" s="200"/>
    </row>
    <row r="70" spans="2:11" s="1" customFormat="1" ht="15" customHeight="1">
      <c r="B70" s="199"/>
      <c r="C70" s="204"/>
      <c r="D70" s="365" t="s">
        <v>1151</v>
      </c>
      <c r="E70" s="365"/>
      <c r="F70" s="365"/>
      <c r="G70" s="365"/>
      <c r="H70" s="365"/>
      <c r="I70" s="365"/>
      <c r="J70" s="365"/>
      <c r="K70" s="200"/>
    </row>
    <row r="71" spans="2:11" s="1" customFormat="1" ht="12.75" customHeight="1">
      <c r="B71" s="208"/>
      <c r="C71" s="209"/>
      <c r="D71" s="209"/>
      <c r="E71" s="209"/>
      <c r="F71" s="209"/>
      <c r="G71" s="209"/>
      <c r="H71" s="209"/>
      <c r="I71" s="209"/>
      <c r="J71" s="209"/>
      <c r="K71" s="210"/>
    </row>
    <row r="72" spans="2:11" s="1" customFormat="1" ht="18.75" customHeight="1">
      <c r="B72" s="211"/>
      <c r="C72" s="211"/>
      <c r="D72" s="211"/>
      <c r="E72" s="211"/>
      <c r="F72" s="211"/>
      <c r="G72" s="211"/>
      <c r="H72" s="211"/>
      <c r="I72" s="211"/>
      <c r="J72" s="211"/>
      <c r="K72" s="212"/>
    </row>
    <row r="73" spans="2:11" s="1" customFormat="1" ht="18.75" customHeight="1">
      <c r="B73" s="212"/>
      <c r="C73" s="212"/>
      <c r="D73" s="212"/>
      <c r="E73" s="212"/>
      <c r="F73" s="212"/>
      <c r="G73" s="212"/>
      <c r="H73" s="212"/>
      <c r="I73" s="212"/>
      <c r="J73" s="212"/>
      <c r="K73" s="212"/>
    </row>
    <row r="74" spans="2:11" s="1" customFormat="1" ht="7.5" customHeight="1">
      <c r="B74" s="213"/>
      <c r="C74" s="214"/>
      <c r="D74" s="214"/>
      <c r="E74" s="214"/>
      <c r="F74" s="214"/>
      <c r="G74" s="214"/>
      <c r="H74" s="214"/>
      <c r="I74" s="214"/>
      <c r="J74" s="214"/>
      <c r="K74" s="215"/>
    </row>
    <row r="75" spans="2:11" s="1" customFormat="1" ht="45" customHeight="1">
      <c r="B75" s="216"/>
      <c r="C75" s="360" t="s">
        <v>1152</v>
      </c>
      <c r="D75" s="360"/>
      <c r="E75" s="360"/>
      <c r="F75" s="360"/>
      <c r="G75" s="360"/>
      <c r="H75" s="360"/>
      <c r="I75" s="360"/>
      <c r="J75" s="360"/>
      <c r="K75" s="217"/>
    </row>
    <row r="76" spans="2:11" s="1" customFormat="1" ht="17.25" customHeight="1">
      <c r="B76" s="216"/>
      <c r="C76" s="218" t="s">
        <v>1153</v>
      </c>
      <c r="D76" s="218"/>
      <c r="E76" s="218"/>
      <c r="F76" s="218" t="s">
        <v>1154</v>
      </c>
      <c r="G76" s="219"/>
      <c r="H76" s="218" t="s">
        <v>54</v>
      </c>
      <c r="I76" s="218" t="s">
        <v>57</v>
      </c>
      <c r="J76" s="218" t="s">
        <v>1155</v>
      </c>
      <c r="K76" s="217"/>
    </row>
    <row r="77" spans="2:11" s="1" customFormat="1" ht="17.25" customHeight="1">
      <c r="B77" s="216"/>
      <c r="C77" s="220" t="s">
        <v>1156</v>
      </c>
      <c r="D77" s="220"/>
      <c r="E77" s="220"/>
      <c r="F77" s="221" t="s">
        <v>1157</v>
      </c>
      <c r="G77" s="222"/>
      <c r="H77" s="220"/>
      <c r="I77" s="220"/>
      <c r="J77" s="220" t="s">
        <v>1158</v>
      </c>
      <c r="K77" s="217"/>
    </row>
    <row r="78" spans="2:11" s="1" customFormat="1" ht="5.25" customHeight="1">
      <c r="B78" s="216"/>
      <c r="C78" s="223"/>
      <c r="D78" s="223"/>
      <c r="E78" s="223"/>
      <c r="F78" s="223"/>
      <c r="G78" s="224"/>
      <c r="H78" s="223"/>
      <c r="I78" s="223"/>
      <c r="J78" s="223"/>
      <c r="K78" s="217"/>
    </row>
    <row r="79" spans="2:11" s="1" customFormat="1" ht="15" customHeight="1">
      <c r="B79" s="216"/>
      <c r="C79" s="205" t="s">
        <v>53</v>
      </c>
      <c r="D79" s="225"/>
      <c r="E79" s="225"/>
      <c r="F79" s="226" t="s">
        <v>1159</v>
      </c>
      <c r="G79" s="227"/>
      <c r="H79" s="205" t="s">
        <v>1160</v>
      </c>
      <c r="I79" s="205" t="s">
        <v>1161</v>
      </c>
      <c r="J79" s="205">
        <v>20</v>
      </c>
      <c r="K79" s="217"/>
    </row>
    <row r="80" spans="2:11" s="1" customFormat="1" ht="15" customHeight="1">
      <c r="B80" s="216"/>
      <c r="C80" s="205" t="s">
        <v>1162</v>
      </c>
      <c r="D80" s="205"/>
      <c r="E80" s="205"/>
      <c r="F80" s="226" t="s">
        <v>1159</v>
      </c>
      <c r="G80" s="227"/>
      <c r="H80" s="205" t="s">
        <v>1163</v>
      </c>
      <c r="I80" s="205" t="s">
        <v>1161</v>
      </c>
      <c r="J80" s="205">
        <v>120</v>
      </c>
      <c r="K80" s="217"/>
    </row>
    <row r="81" spans="2:11" s="1" customFormat="1" ht="15" customHeight="1">
      <c r="B81" s="228"/>
      <c r="C81" s="205" t="s">
        <v>1164</v>
      </c>
      <c r="D81" s="205"/>
      <c r="E81" s="205"/>
      <c r="F81" s="226" t="s">
        <v>1165</v>
      </c>
      <c r="G81" s="227"/>
      <c r="H81" s="205" t="s">
        <v>1166</v>
      </c>
      <c r="I81" s="205" t="s">
        <v>1161</v>
      </c>
      <c r="J81" s="205">
        <v>50</v>
      </c>
      <c r="K81" s="217"/>
    </row>
    <row r="82" spans="2:11" s="1" customFormat="1" ht="15" customHeight="1">
      <c r="B82" s="228"/>
      <c r="C82" s="205" t="s">
        <v>1167</v>
      </c>
      <c r="D82" s="205"/>
      <c r="E82" s="205"/>
      <c r="F82" s="226" t="s">
        <v>1159</v>
      </c>
      <c r="G82" s="227"/>
      <c r="H82" s="205" t="s">
        <v>1168</v>
      </c>
      <c r="I82" s="205" t="s">
        <v>1169</v>
      </c>
      <c r="J82" s="205"/>
      <c r="K82" s="217"/>
    </row>
    <row r="83" spans="2:11" s="1" customFormat="1" ht="15" customHeight="1">
      <c r="B83" s="228"/>
      <c r="C83" s="229" t="s">
        <v>1170</v>
      </c>
      <c r="D83" s="229"/>
      <c r="E83" s="229"/>
      <c r="F83" s="230" t="s">
        <v>1165</v>
      </c>
      <c r="G83" s="229"/>
      <c r="H83" s="229" t="s">
        <v>1171</v>
      </c>
      <c r="I83" s="229" t="s">
        <v>1161</v>
      </c>
      <c r="J83" s="229">
        <v>15</v>
      </c>
      <c r="K83" s="217"/>
    </row>
    <row r="84" spans="2:11" s="1" customFormat="1" ht="15" customHeight="1">
      <c r="B84" s="228"/>
      <c r="C84" s="229" t="s">
        <v>1172</v>
      </c>
      <c r="D84" s="229"/>
      <c r="E84" s="229"/>
      <c r="F84" s="230" t="s">
        <v>1165</v>
      </c>
      <c r="G84" s="229"/>
      <c r="H84" s="229" t="s">
        <v>1173</v>
      </c>
      <c r="I84" s="229" t="s">
        <v>1161</v>
      </c>
      <c r="J84" s="229">
        <v>15</v>
      </c>
      <c r="K84" s="217"/>
    </row>
    <row r="85" spans="2:11" s="1" customFormat="1" ht="15" customHeight="1">
      <c r="B85" s="228"/>
      <c r="C85" s="229" t="s">
        <v>1174</v>
      </c>
      <c r="D85" s="229"/>
      <c r="E85" s="229"/>
      <c r="F85" s="230" t="s">
        <v>1165</v>
      </c>
      <c r="G85" s="229"/>
      <c r="H85" s="229" t="s">
        <v>1175</v>
      </c>
      <c r="I85" s="229" t="s">
        <v>1161</v>
      </c>
      <c r="J85" s="229">
        <v>20</v>
      </c>
      <c r="K85" s="217"/>
    </row>
    <row r="86" spans="2:11" s="1" customFormat="1" ht="15" customHeight="1">
      <c r="B86" s="228"/>
      <c r="C86" s="229" t="s">
        <v>1176</v>
      </c>
      <c r="D86" s="229"/>
      <c r="E86" s="229"/>
      <c r="F86" s="230" t="s">
        <v>1165</v>
      </c>
      <c r="G86" s="229"/>
      <c r="H86" s="229" t="s">
        <v>1177</v>
      </c>
      <c r="I86" s="229" t="s">
        <v>1161</v>
      </c>
      <c r="J86" s="229">
        <v>20</v>
      </c>
      <c r="K86" s="217"/>
    </row>
    <row r="87" spans="2:11" s="1" customFormat="1" ht="15" customHeight="1">
      <c r="B87" s="228"/>
      <c r="C87" s="205" t="s">
        <v>1178</v>
      </c>
      <c r="D87" s="205"/>
      <c r="E87" s="205"/>
      <c r="F87" s="226" t="s">
        <v>1165</v>
      </c>
      <c r="G87" s="227"/>
      <c r="H87" s="205" t="s">
        <v>1179</v>
      </c>
      <c r="I87" s="205" t="s">
        <v>1161</v>
      </c>
      <c r="J87" s="205">
        <v>50</v>
      </c>
      <c r="K87" s="217"/>
    </row>
    <row r="88" spans="2:11" s="1" customFormat="1" ht="15" customHeight="1">
      <c r="B88" s="228"/>
      <c r="C88" s="205" t="s">
        <v>1180</v>
      </c>
      <c r="D88" s="205"/>
      <c r="E88" s="205"/>
      <c r="F88" s="226" t="s">
        <v>1165</v>
      </c>
      <c r="G88" s="227"/>
      <c r="H88" s="205" t="s">
        <v>1181</v>
      </c>
      <c r="I88" s="205" t="s">
        <v>1161</v>
      </c>
      <c r="J88" s="205">
        <v>20</v>
      </c>
      <c r="K88" s="217"/>
    </row>
    <row r="89" spans="2:11" s="1" customFormat="1" ht="15" customHeight="1">
      <c r="B89" s="228"/>
      <c r="C89" s="205" t="s">
        <v>1182</v>
      </c>
      <c r="D89" s="205"/>
      <c r="E89" s="205"/>
      <c r="F89" s="226" t="s">
        <v>1165</v>
      </c>
      <c r="G89" s="227"/>
      <c r="H89" s="205" t="s">
        <v>1183</v>
      </c>
      <c r="I89" s="205" t="s">
        <v>1161</v>
      </c>
      <c r="J89" s="205">
        <v>20</v>
      </c>
      <c r="K89" s="217"/>
    </row>
    <row r="90" spans="2:11" s="1" customFormat="1" ht="15" customHeight="1">
      <c r="B90" s="228"/>
      <c r="C90" s="205" t="s">
        <v>1184</v>
      </c>
      <c r="D90" s="205"/>
      <c r="E90" s="205"/>
      <c r="F90" s="226" t="s">
        <v>1165</v>
      </c>
      <c r="G90" s="227"/>
      <c r="H90" s="205" t="s">
        <v>1185</v>
      </c>
      <c r="I90" s="205" t="s">
        <v>1161</v>
      </c>
      <c r="J90" s="205">
        <v>50</v>
      </c>
      <c r="K90" s="217"/>
    </row>
    <row r="91" spans="2:11" s="1" customFormat="1" ht="15" customHeight="1">
      <c r="B91" s="228"/>
      <c r="C91" s="205" t="s">
        <v>1186</v>
      </c>
      <c r="D91" s="205"/>
      <c r="E91" s="205"/>
      <c r="F91" s="226" t="s">
        <v>1165</v>
      </c>
      <c r="G91" s="227"/>
      <c r="H91" s="205" t="s">
        <v>1186</v>
      </c>
      <c r="I91" s="205" t="s">
        <v>1161</v>
      </c>
      <c r="J91" s="205">
        <v>50</v>
      </c>
      <c r="K91" s="217"/>
    </row>
    <row r="92" spans="2:11" s="1" customFormat="1" ht="15" customHeight="1">
      <c r="B92" s="228"/>
      <c r="C92" s="205" t="s">
        <v>1187</v>
      </c>
      <c r="D92" s="205"/>
      <c r="E92" s="205"/>
      <c r="F92" s="226" t="s">
        <v>1165</v>
      </c>
      <c r="G92" s="227"/>
      <c r="H92" s="205" t="s">
        <v>1188</v>
      </c>
      <c r="I92" s="205" t="s">
        <v>1161</v>
      </c>
      <c r="J92" s="205">
        <v>255</v>
      </c>
      <c r="K92" s="217"/>
    </row>
    <row r="93" spans="2:11" s="1" customFormat="1" ht="15" customHeight="1">
      <c r="B93" s="228"/>
      <c r="C93" s="205" t="s">
        <v>1189</v>
      </c>
      <c r="D93" s="205"/>
      <c r="E93" s="205"/>
      <c r="F93" s="226" t="s">
        <v>1159</v>
      </c>
      <c r="G93" s="227"/>
      <c r="H93" s="205" t="s">
        <v>1190</v>
      </c>
      <c r="I93" s="205" t="s">
        <v>1191</v>
      </c>
      <c r="J93" s="205"/>
      <c r="K93" s="217"/>
    </row>
    <row r="94" spans="2:11" s="1" customFormat="1" ht="15" customHeight="1">
      <c r="B94" s="228"/>
      <c r="C94" s="205" t="s">
        <v>1192</v>
      </c>
      <c r="D94" s="205"/>
      <c r="E94" s="205"/>
      <c r="F94" s="226" t="s">
        <v>1159</v>
      </c>
      <c r="G94" s="227"/>
      <c r="H94" s="205" t="s">
        <v>1193</v>
      </c>
      <c r="I94" s="205" t="s">
        <v>1194</v>
      </c>
      <c r="J94" s="205"/>
      <c r="K94" s="217"/>
    </row>
    <row r="95" spans="2:11" s="1" customFormat="1" ht="15" customHeight="1">
      <c r="B95" s="228"/>
      <c r="C95" s="205" t="s">
        <v>1195</v>
      </c>
      <c r="D95" s="205"/>
      <c r="E95" s="205"/>
      <c r="F95" s="226" t="s">
        <v>1159</v>
      </c>
      <c r="G95" s="227"/>
      <c r="H95" s="205" t="s">
        <v>1195</v>
      </c>
      <c r="I95" s="205" t="s">
        <v>1194</v>
      </c>
      <c r="J95" s="205"/>
      <c r="K95" s="217"/>
    </row>
    <row r="96" spans="2:11" s="1" customFormat="1" ht="15" customHeight="1">
      <c r="B96" s="228"/>
      <c r="C96" s="205" t="s">
        <v>38</v>
      </c>
      <c r="D96" s="205"/>
      <c r="E96" s="205"/>
      <c r="F96" s="226" t="s">
        <v>1159</v>
      </c>
      <c r="G96" s="227"/>
      <c r="H96" s="205" t="s">
        <v>1196</v>
      </c>
      <c r="I96" s="205" t="s">
        <v>1194</v>
      </c>
      <c r="J96" s="205"/>
      <c r="K96" s="217"/>
    </row>
    <row r="97" spans="2:11" s="1" customFormat="1" ht="15" customHeight="1">
      <c r="B97" s="228"/>
      <c r="C97" s="205" t="s">
        <v>48</v>
      </c>
      <c r="D97" s="205"/>
      <c r="E97" s="205"/>
      <c r="F97" s="226" t="s">
        <v>1159</v>
      </c>
      <c r="G97" s="227"/>
      <c r="H97" s="205" t="s">
        <v>1197</v>
      </c>
      <c r="I97" s="205" t="s">
        <v>1194</v>
      </c>
      <c r="J97" s="205"/>
      <c r="K97" s="217"/>
    </row>
    <row r="98" spans="2:11" s="1" customFormat="1" ht="15" customHeight="1">
      <c r="B98" s="231"/>
      <c r="C98" s="232"/>
      <c r="D98" s="232"/>
      <c r="E98" s="232"/>
      <c r="F98" s="232"/>
      <c r="G98" s="232"/>
      <c r="H98" s="232"/>
      <c r="I98" s="232"/>
      <c r="J98" s="232"/>
      <c r="K98" s="233"/>
    </row>
    <row r="99" spans="2:11" s="1" customFormat="1" ht="18.75" customHeight="1">
      <c r="B99" s="234"/>
      <c r="C99" s="235"/>
      <c r="D99" s="235"/>
      <c r="E99" s="235"/>
      <c r="F99" s="235"/>
      <c r="G99" s="235"/>
      <c r="H99" s="235"/>
      <c r="I99" s="235"/>
      <c r="J99" s="235"/>
      <c r="K99" s="234"/>
    </row>
    <row r="100" spans="2:11" s="1" customFormat="1" ht="18.75" customHeight="1">
      <c r="B100" s="212"/>
      <c r="C100" s="212"/>
      <c r="D100" s="212"/>
      <c r="E100" s="212"/>
      <c r="F100" s="212"/>
      <c r="G100" s="212"/>
      <c r="H100" s="212"/>
      <c r="I100" s="212"/>
      <c r="J100" s="212"/>
      <c r="K100" s="212"/>
    </row>
    <row r="101" spans="2:11" s="1" customFormat="1" ht="7.5" customHeight="1">
      <c r="B101" s="213"/>
      <c r="C101" s="214"/>
      <c r="D101" s="214"/>
      <c r="E101" s="214"/>
      <c r="F101" s="214"/>
      <c r="G101" s="214"/>
      <c r="H101" s="214"/>
      <c r="I101" s="214"/>
      <c r="J101" s="214"/>
      <c r="K101" s="215"/>
    </row>
    <row r="102" spans="2:11" s="1" customFormat="1" ht="45" customHeight="1">
      <c r="B102" s="216"/>
      <c r="C102" s="360" t="s">
        <v>1198</v>
      </c>
      <c r="D102" s="360"/>
      <c r="E102" s="360"/>
      <c r="F102" s="360"/>
      <c r="G102" s="360"/>
      <c r="H102" s="360"/>
      <c r="I102" s="360"/>
      <c r="J102" s="360"/>
      <c r="K102" s="217"/>
    </row>
    <row r="103" spans="2:11" s="1" customFormat="1" ht="17.25" customHeight="1">
      <c r="B103" s="216"/>
      <c r="C103" s="218" t="s">
        <v>1153</v>
      </c>
      <c r="D103" s="218"/>
      <c r="E103" s="218"/>
      <c r="F103" s="218" t="s">
        <v>1154</v>
      </c>
      <c r="G103" s="219"/>
      <c r="H103" s="218" t="s">
        <v>54</v>
      </c>
      <c r="I103" s="218" t="s">
        <v>57</v>
      </c>
      <c r="J103" s="218" t="s">
        <v>1155</v>
      </c>
      <c r="K103" s="217"/>
    </row>
    <row r="104" spans="2:11" s="1" customFormat="1" ht="17.25" customHeight="1">
      <c r="B104" s="216"/>
      <c r="C104" s="220" t="s">
        <v>1156</v>
      </c>
      <c r="D104" s="220"/>
      <c r="E104" s="220"/>
      <c r="F104" s="221" t="s">
        <v>1157</v>
      </c>
      <c r="G104" s="222"/>
      <c r="H104" s="220"/>
      <c r="I104" s="220"/>
      <c r="J104" s="220" t="s">
        <v>1158</v>
      </c>
      <c r="K104" s="217"/>
    </row>
    <row r="105" spans="2:11" s="1" customFormat="1" ht="5.25" customHeight="1">
      <c r="B105" s="216"/>
      <c r="C105" s="218"/>
      <c r="D105" s="218"/>
      <c r="E105" s="218"/>
      <c r="F105" s="218"/>
      <c r="G105" s="236"/>
      <c r="H105" s="218"/>
      <c r="I105" s="218"/>
      <c r="J105" s="218"/>
      <c r="K105" s="217"/>
    </row>
    <row r="106" spans="2:11" s="1" customFormat="1" ht="15" customHeight="1">
      <c r="B106" s="216"/>
      <c r="C106" s="205" t="s">
        <v>53</v>
      </c>
      <c r="D106" s="225"/>
      <c r="E106" s="225"/>
      <c r="F106" s="226" t="s">
        <v>1159</v>
      </c>
      <c r="G106" s="205"/>
      <c r="H106" s="205" t="s">
        <v>1199</v>
      </c>
      <c r="I106" s="205" t="s">
        <v>1161</v>
      </c>
      <c r="J106" s="205">
        <v>20</v>
      </c>
      <c r="K106" s="217"/>
    </row>
    <row r="107" spans="2:11" s="1" customFormat="1" ht="15" customHeight="1">
      <c r="B107" s="216"/>
      <c r="C107" s="205" t="s">
        <v>1162</v>
      </c>
      <c r="D107" s="205"/>
      <c r="E107" s="205"/>
      <c r="F107" s="226" t="s">
        <v>1159</v>
      </c>
      <c r="G107" s="205"/>
      <c r="H107" s="205" t="s">
        <v>1199</v>
      </c>
      <c r="I107" s="205" t="s">
        <v>1161</v>
      </c>
      <c r="J107" s="205">
        <v>120</v>
      </c>
      <c r="K107" s="217"/>
    </row>
    <row r="108" spans="2:11" s="1" customFormat="1" ht="15" customHeight="1">
      <c r="B108" s="228"/>
      <c r="C108" s="205" t="s">
        <v>1164</v>
      </c>
      <c r="D108" s="205"/>
      <c r="E108" s="205"/>
      <c r="F108" s="226" t="s">
        <v>1165</v>
      </c>
      <c r="G108" s="205"/>
      <c r="H108" s="205" t="s">
        <v>1199</v>
      </c>
      <c r="I108" s="205" t="s">
        <v>1161</v>
      </c>
      <c r="J108" s="205">
        <v>50</v>
      </c>
      <c r="K108" s="217"/>
    </row>
    <row r="109" spans="2:11" s="1" customFormat="1" ht="15" customHeight="1">
      <c r="B109" s="228"/>
      <c r="C109" s="205" t="s">
        <v>1167</v>
      </c>
      <c r="D109" s="205"/>
      <c r="E109" s="205"/>
      <c r="F109" s="226" t="s">
        <v>1159</v>
      </c>
      <c r="G109" s="205"/>
      <c r="H109" s="205" t="s">
        <v>1199</v>
      </c>
      <c r="I109" s="205" t="s">
        <v>1169</v>
      </c>
      <c r="J109" s="205"/>
      <c r="K109" s="217"/>
    </row>
    <row r="110" spans="2:11" s="1" customFormat="1" ht="15" customHeight="1">
      <c r="B110" s="228"/>
      <c r="C110" s="205" t="s">
        <v>1178</v>
      </c>
      <c r="D110" s="205"/>
      <c r="E110" s="205"/>
      <c r="F110" s="226" t="s">
        <v>1165</v>
      </c>
      <c r="G110" s="205"/>
      <c r="H110" s="205" t="s">
        <v>1199</v>
      </c>
      <c r="I110" s="205" t="s">
        <v>1161</v>
      </c>
      <c r="J110" s="205">
        <v>50</v>
      </c>
      <c r="K110" s="217"/>
    </row>
    <row r="111" spans="2:11" s="1" customFormat="1" ht="15" customHeight="1">
      <c r="B111" s="228"/>
      <c r="C111" s="205" t="s">
        <v>1186</v>
      </c>
      <c r="D111" s="205"/>
      <c r="E111" s="205"/>
      <c r="F111" s="226" t="s">
        <v>1165</v>
      </c>
      <c r="G111" s="205"/>
      <c r="H111" s="205" t="s">
        <v>1199</v>
      </c>
      <c r="I111" s="205" t="s">
        <v>1161</v>
      </c>
      <c r="J111" s="205">
        <v>50</v>
      </c>
      <c r="K111" s="217"/>
    </row>
    <row r="112" spans="2:11" s="1" customFormat="1" ht="15" customHeight="1">
      <c r="B112" s="228"/>
      <c r="C112" s="205" t="s">
        <v>1184</v>
      </c>
      <c r="D112" s="205"/>
      <c r="E112" s="205"/>
      <c r="F112" s="226" t="s">
        <v>1165</v>
      </c>
      <c r="G112" s="205"/>
      <c r="H112" s="205" t="s">
        <v>1199</v>
      </c>
      <c r="I112" s="205" t="s">
        <v>1161</v>
      </c>
      <c r="J112" s="205">
        <v>50</v>
      </c>
      <c r="K112" s="217"/>
    </row>
    <row r="113" spans="2:11" s="1" customFormat="1" ht="15" customHeight="1">
      <c r="B113" s="228"/>
      <c r="C113" s="205" t="s">
        <v>53</v>
      </c>
      <c r="D113" s="205"/>
      <c r="E113" s="205"/>
      <c r="F113" s="226" t="s">
        <v>1159</v>
      </c>
      <c r="G113" s="205"/>
      <c r="H113" s="205" t="s">
        <v>1200</v>
      </c>
      <c r="I113" s="205" t="s">
        <v>1161</v>
      </c>
      <c r="J113" s="205">
        <v>20</v>
      </c>
      <c r="K113" s="217"/>
    </row>
    <row r="114" spans="2:11" s="1" customFormat="1" ht="15" customHeight="1">
      <c r="B114" s="228"/>
      <c r="C114" s="205" t="s">
        <v>1201</v>
      </c>
      <c r="D114" s="205"/>
      <c r="E114" s="205"/>
      <c r="F114" s="226" t="s">
        <v>1159</v>
      </c>
      <c r="G114" s="205"/>
      <c r="H114" s="205" t="s">
        <v>1202</v>
      </c>
      <c r="I114" s="205" t="s">
        <v>1161</v>
      </c>
      <c r="J114" s="205">
        <v>120</v>
      </c>
      <c r="K114" s="217"/>
    </row>
    <row r="115" spans="2:11" s="1" customFormat="1" ht="15" customHeight="1">
      <c r="B115" s="228"/>
      <c r="C115" s="205" t="s">
        <v>38</v>
      </c>
      <c r="D115" s="205"/>
      <c r="E115" s="205"/>
      <c r="F115" s="226" t="s">
        <v>1159</v>
      </c>
      <c r="G115" s="205"/>
      <c r="H115" s="205" t="s">
        <v>1203</v>
      </c>
      <c r="I115" s="205" t="s">
        <v>1194</v>
      </c>
      <c r="J115" s="205"/>
      <c r="K115" s="217"/>
    </row>
    <row r="116" spans="2:11" s="1" customFormat="1" ht="15" customHeight="1">
      <c r="B116" s="228"/>
      <c r="C116" s="205" t="s">
        <v>48</v>
      </c>
      <c r="D116" s="205"/>
      <c r="E116" s="205"/>
      <c r="F116" s="226" t="s">
        <v>1159</v>
      </c>
      <c r="G116" s="205"/>
      <c r="H116" s="205" t="s">
        <v>1204</v>
      </c>
      <c r="I116" s="205" t="s">
        <v>1194</v>
      </c>
      <c r="J116" s="205"/>
      <c r="K116" s="217"/>
    </row>
    <row r="117" spans="2:11" s="1" customFormat="1" ht="15" customHeight="1">
      <c r="B117" s="228"/>
      <c r="C117" s="205" t="s">
        <v>57</v>
      </c>
      <c r="D117" s="205"/>
      <c r="E117" s="205"/>
      <c r="F117" s="226" t="s">
        <v>1159</v>
      </c>
      <c r="G117" s="205"/>
      <c r="H117" s="205" t="s">
        <v>1205</v>
      </c>
      <c r="I117" s="205" t="s">
        <v>1206</v>
      </c>
      <c r="J117" s="205"/>
      <c r="K117" s="217"/>
    </row>
    <row r="118" spans="2:11" s="1" customFormat="1" ht="15" customHeight="1">
      <c r="B118" s="231"/>
      <c r="C118" s="237"/>
      <c r="D118" s="237"/>
      <c r="E118" s="237"/>
      <c r="F118" s="237"/>
      <c r="G118" s="237"/>
      <c r="H118" s="237"/>
      <c r="I118" s="237"/>
      <c r="J118" s="237"/>
      <c r="K118" s="233"/>
    </row>
    <row r="119" spans="2:11" s="1" customFormat="1" ht="18.75" customHeight="1">
      <c r="B119" s="238"/>
      <c r="C119" s="239"/>
      <c r="D119" s="239"/>
      <c r="E119" s="239"/>
      <c r="F119" s="240"/>
      <c r="G119" s="239"/>
      <c r="H119" s="239"/>
      <c r="I119" s="239"/>
      <c r="J119" s="239"/>
      <c r="K119" s="238"/>
    </row>
    <row r="120" spans="2:11" s="1" customFormat="1" ht="18.75" customHeight="1">
      <c r="B120" s="212"/>
      <c r="C120" s="212"/>
      <c r="D120" s="212"/>
      <c r="E120" s="212"/>
      <c r="F120" s="212"/>
      <c r="G120" s="212"/>
      <c r="H120" s="212"/>
      <c r="I120" s="212"/>
      <c r="J120" s="212"/>
      <c r="K120" s="212"/>
    </row>
    <row r="121" spans="2:11" s="1" customFormat="1" ht="7.5" customHeight="1">
      <c r="B121" s="241"/>
      <c r="C121" s="242"/>
      <c r="D121" s="242"/>
      <c r="E121" s="242"/>
      <c r="F121" s="242"/>
      <c r="G121" s="242"/>
      <c r="H121" s="242"/>
      <c r="I121" s="242"/>
      <c r="J121" s="242"/>
      <c r="K121" s="243"/>
    </row>
    <row r="122" spans="2:11" s="1" customFormat="1" ht="45" customHeight="1">
      <c r="B122" s="244"/>
      <c r="C122" s="361" t="s">
        <v>1207</v>
      </c>
      <c r="D122" s="361"/>
      <c r="E122" s="361"/>
      <c r="F122" s="361"/>
      <c r="G122" s="361"/>
      <c r="H122" s="361"/>
      <c r="I122" s="361"/>
      <c r="J122" s="361"/>
      <c r="K122" s="245"/>
    </row>
    <row r="123" spans="2:11" s="1" customFormat="1" ht="17.25" customHeight="1">
      <c r="B123" s="246"/>
      <c r="C123" s="218" t="s">
        <v>1153</v>
      </c>
      <c r="D123" s="218"/>
      <c r="E123" s="218"/>
      <c r="F123" s="218" t="s">
        <v>1154</v>
      </c>
      <c r="G123" s="219"/>
      <c r="H123" s="218" t="s">
        <v>54</v>
      </c>
      <c r="I123" s="218" t="s">
        <v>57</v>
      </c>
      <c r="J123" s="218" t="s">
        <v>1155</v>
      </c>
      <c r="K123" s="247"/>
    </row>
    <row r="124" spans="2:11" s="1" customFormat="1" ht="17.25" customHeight="1">
      <c r="B124" s="246"/>
      <c r="C124" s="220" t="s">
        <v>1156</v>
      </c>
      <c r="D124" s="220"/>
      <c r="E124" s="220"/>
      <c r="F124" s="221" t="s">
        <v>1157</v>
      </c>
      <c r="G124" s="222"/>
      <c r="H124" s="220"/>
      <c r="I124" s="220"/>
      <c r="J124" s="220" t="s">
        <v>1158</v>
      </c>
      <c r="K124" s="247"/>
    </row>
    <row r="125" spans="2:11" s="1" customFormat="1" ht="5.25" customHeight="1">
      <c r="B125" s="248"/>
      <c r="C125" s="223"/>
      <c r="D125" s="223"/>
      <c r="E125" s="223"/>
      <c r="F125" s="223"/>
      <c r="G125" s="249"/>
      <c r="H125" s="223"/>
      <c r="I125" s="223"/>
      <c r="J125" s="223"/>
      <c r="K125" s="250"/>
    </row>
    <row r="126" spans="2:11" s="1" customFormat="1" ht="15" customHeight="1">
      <c r="B126" s="248"/>
      <c r="C126" s="205" t="s">
        <v>1162</v>
      </c>
      <c r="D126" s="225"/>
      <c r="E126" s="225"/>
      <c r="F126" s="226" t="s">
        <v>1159</v>
      </c>
      <c r="G126" s="205"/>
      <c r="H126" s="205" t="s">
        <v>1199</v>
      </c>
      <c r="I126" s="205" t="s">
        <v>1161</v>
      </c>
      <c r="J126" s="205">
        <v>120</v>
      </c>
      <c r="K126" s="251"/>
    </row>
    <row r="127" spans="2:11" s="1" customFormat="1" ht="15" customHeight="1">
      <c r="B127" s="248"/>
      <c r="C127" s="205" t="s">
        <v>1208</v>
      </c>
      <c r="D127" s="205"/>
      <c r="E127" s="205"/>
      <c r="F127" s="226" t="s">
        <v>1159</v>
      </c>
      <c r="G127" s="205"/>
      <c r="H127" s="205" t="s">
        <v>1209</v>
      </c>
      <c r="I127" s="205" t="s">
        <v>1161</v>
      </c>
      <c r="J127" s="205" t="s">
        <v>1210</v>
      </c>
      <c r="K127" s="251"/>
    </row>
    <row r="128" spans="2:11" s="1" customFormat="1" ht="15" customHeight="1">
      <c r="B128" s="248"/>
      <c r="C128" s="205" t="s">
        <v>1107</v>
      </c>
      <c r="D128" s="205"/>
      <c r="E128" s="205"/>
      <c r="F128" s="226" t="s">
        <v>1159</v>
      </c>
      <c r="G128" s="205"/>
      <c r="H128" s="205" t="s">
        <v>1211</v>
      </c>
      <c r="I128" s="205" t="s">
        <v>1161</v>
      </c>
      <c r="J128" s="205" t="s">
        <v>1210</v>
      </c>
      <c r="K128" s="251"/>
    </row>
    <row r="129" spans="2:11" s="1" customFormat="1" ht="15" customHeight="1">
      <c r="B129" s="248"/>
      <c r="C129" s="205" t="s">
        <v>1170</v>
      </c>
      <c r="D129" s="205"/>
      <c r="E129" s="205"/>
      <c r="F129" s="226" t="s">
        <v>1165</v>
      </c>
      <c r="G129" s="205"/>
      <c r="H129" s="205" t="s">
        <v>1171</v>
      </c>
      <c r="I129" s="205" t="s">
        <v>1161</v>
      </c>
      <c r="J129" s="205">
        <v>15</v>
      </c>
      <c r="K129" s="251"/>
    </row>
    <row r="130" spans="2:11" s="1" customFormat="1" ht="15" customHeight="1">
      <c r="B130" s="248"/>
      <c r="C130" s="229" t="s">
        <v>1172</v>
      </c>
      <c r="D130" s="229"/>
      <c r="E130" s="229"/>
      <c r="F130" s="230" t="s">
        <v>1165</v>
      </c>
      <c r="G130" s="229"/>
      <c r="H130" s="229" t="s">
        <v>1173</v>
      </c>
      <c r="I130" s="229" t="s">
        <v>1161</v>
      </c>
      <c r="J130" s="229">
        <v>15</v>
      </c>
      <c r="K130" s="251"/>
    </row>
    <row r="131" spans="2:11" s="1" customFormat="1" ht="15" customHeight="1">
      <c r="B131" s="248"/>
      <c r="C131" s="229" t="s">
        <v>1174</v>
      </c>
      <c r="D131" s="229"/>
      <c r="E131" s="229"/>
      <c r="F131" s="230" t="s">
        <v>1165</v>
      </c>
      <c r="G131" s="229"/>
      <c r="H131" s="229" t="s">
        <v>1175</v>
      </c>
      <c r="I131" s="229" t="s">
        <v>1161</v>
      </c>
      <c r="J131" s="229">
        <v>20</v>
      </c>
      <c r="K131" s="251"/>
    </row>
    <row r="132" spans="2:11" s="1" customFormat="1" ht="15" customHeight="1">
      <c r="B132" s="248"/>
      <c r="C132" s="229" t="s">
        <v>1176</v>
      </c>
      <c r="D132" s="229"/>
      <c r="E132" s="229"/>
      <c r="F132" s="230" t="s">
        <v>1165</v>
      </c>
      <c r="G132" s="229"/>
      <c r="H132" s="229" t="s">
        <v>1177</v>
      </c>
      <c r="I132" s="229" t="s">
        <v>1161</v>
      </c>
      <c r="J132" s="229">
        <v>20</v>
      </c>
      <c r="K132" s="251"/>
    </row>
    <row r="133" spans="2:11" s="1" customFormat="1" ht="15" customHeight="1">
      <c r="B133" s="248"/>
      <c r="C133" s="205" t="s">
        <v>1164</v>
      </c>
      <c r="D133" s="205"/>
      <c r="E133" s="205"/>
      <c r="F133" s="226" t="s">
        <v>1165</v>
      </c>
      <c r="G133" s="205"/>
      <c r="H133" s="205" t="s">
        <v>1199</v>
      </c>
      <c r="I133" s="205" t="s">
        <v>1161</v>
      </c>
      <c r="J133" s="205">
        <v>50</v>
      </c>
      <c r="K133" s="251"/>
    </row>
    <row r="134" spans="2:11" s="1" customFormat="1" ht="15" customHeight="1">
      <c r="B134" s="248"/>
      <c r="C134" s="205" t="s">
        <v>1178</v>
      </c>
      <c r="D134" s="205"/>
      <c r="E134" s="205"/>
      <c r="F134" s="226" t="s">
        <v>1165</v>
      </c>
      <c r="G134" s="205"/>
      <c r="H134" s="205" t="s">
        <v>1199</v>
      </c>
      <c r="I134" s="205" t="s">
        <v>1161</v>
      </c>
      <c r="J134" s="205">
        <v>50</v>
      </c>
      <c r="K134" s="251"/>
    </row>
    <row r="135" spans="2:11" s="1" customFormat="1" ht="15" customHeight="1">
      <c r="B135" s="248"/>
      <c r="C135" s="205" t="s">
        <v>1184</v>
      </c>
      <c r="D135" s="205"/>
      <c r="E135" s="205"/>
      <c r="F135" s="226" t="s">
        <v>1165</v>
      </c>
      <c r="G135" s="205"/>
      <c r="H135" s="205" t="s">
        <v>1199</v>
      </c>
      <c r="I135" s="205" t="s">
        <v>1161</v>
      </c>
      <c r="J135" s="205">
        <v>50</v>
      </c>
      <c r="K135" s="251"/>
    </row>
    <row r="136" spans="2:11" s="1" customFormat="1" ht="15" customHeight="1">
      <c r="B136" s="248"/>
      <c r="C136" s="205" t="s">
        <v>1186</v>
      </c>
      <c r="D136" s="205"/>
      <c r="E136" s="205"/>
      <c r="F136" s="226" t="s">
        <v>1165</v>
      </c>
      <c r="G136" s="205"/>
      <c r="H136" s="205" t="s">
        <v>1199</v>
      </c>
      <c r="I136" s="205" t="s">
        <v>1161</v>
      </c>
      <c r="J136" s="205">
        <v>50</v>
      </c>
      <c r="K136" s="251"/>
    </row>
    <row r="137" spans="2:11" s="1" customFormat="1" ht="15" customHeight="1">
      <c r="B137" s="248"/>
      <c r="C137" s="205" t="s">
        <v>1187</v>
      </c>
      <c r="D137" s="205"/>
      <c r="E137" s="205"/>
      <c r="F137" s="226" t="s">
        <v>1165</v>
      </c>
      <c r="G137" s="205"/>
      <c r="H137" s="205" t="s">
        <v>1212</v>
      </c>
      <c r="I137" s="205" t="s">
        <v>1161</v>
      </c>
      <c r="J137" s="205">
        <v>255</v>
      </c>
      <c r="K137" s="251"/>
    </row>
    <row r="138" spans="2:11" s="1" customFormat="1" ht="15" customHeight="1">
      <c r="B138" s="248"/>
      <c r="C138" s="205" t="s">
        <v>1189</v>
      </c>
      <c r="D138" s="205"/>
      <c r="E138" s="205"/>
      <c r="F138" s="226" t="s">
        <v>1159</v>
      </c>
      <c r="G138" s="205"/>
      <c r="H138" s="205" t="s">
        <v>1213</v>
      </c>
      <c r="I138" s="205" t="s">
        <v>1191</v>
      </c>
      <c r="J138" s="205"/>
      <c r="K138" s="251"/>
    </row>
    <row r="139" spans="2:11" s="1" customFormat="1" ht="15" customHeight="1">
      <c r="B139" s="248"/>
      <c r="C139" s="205" t="s">
        <v>1192</v>
      </c>
      <c r="D139" s="205"/>
      <c r="E139" s="205"/>
      <c r="F139" s="226" t="s">
        <v>1159</v>
      </c>
      <c r="G139" s="205"/>
      <c r="H139" s="205" t="s">
        <v>1214</v>
      </c>
      <c r="I139" s="205" t="s">
        <v>1194</v>
      </c>
      <c r="J139" s="205"/>
      <c r="K139" s="251"/>
    </row>
    <row r="140" spans="2:11" s="1" customFormat="1" ht="15" customHeight="1">
      <c r="B140" s="248"/>
      <c r="C140" s="205" t="s">
        <v>1195</v>
      </c>
      <c r="D140" s="205"/>
      <c r="E140" s="205"/>
      <c r="F140" s="226" t="s">
        <v>1159</v>
      </c>
      <c r="G140" s="205"/>
      <c r="H140" s="205" t="s">
        <v>1195</v>
      </c>
      <c r="I140" s="205" t="s">
        <v>1194</v>
      </c>
      <c r="J140" s="205"/>
      <c r="K140" s="251"/>
    </row>
    <row r="141" spans="2:11" s="1" customFormat="1" ht="15" customHeight="1">
      <c r="B141" s="248"/>
      <c r="C141" s="205" t="s">
        <v>38</v>
      </c>
      <c r="D141" s="205"/>
      <c r="E141" s="205"/>
      <c r="F141" s="226" t="s">
        <v>1159</v>
      </c>
      <c r="G141" s="205"/>
      <c r="H141" s="205" t="s">
        <v>1215</v>
      </c>
      <c r="I141" s="205" t="s">
        <v>1194</v>
      </c>
      <c r="J141" s="205"/>
      <c r="K141" s="251"/>
    </row>
    <row r="142" spans="2:11" s="1" customFormat="1" ht="15" customHeight="1">
      <c r="B142" s="248"/>
      <c r="C142" s="205" t="s">
        <v>1216</v>
      </c>
      <c r="D142" s="205"/>
      <c r="E142" s="205"/>
      <c r="F142" s="226" t="s">
        <v>1159</v>
      </c>
      <c r="G142" s="205"/>
      <c r="H142" s="205" t="s">
        <v>1217</v>
      </c>
      <c r="I142" s="205" t="s">
        <v>1194</v>
      </c>
      <c r="J142" s="205"/>
      <c r="K142" s="251"/>
    </row>
    <row r="143" spans="2:11" s="1" customFormat="1" ht="15" customHeight="1">
      <c r="B143" s="252"/>
      <c r="C143" s="253"/>
      <c r="D143" s="253"/>
      <c r="E143" s="253"/>
      <c r="F143" s="253"/>
      <c r="G143" s="253"/>
      <c r="H143" s="253"/>
      <c r="I143" s="253"/>
      <c r="J143" s="253"/>
      <c r="K143" s="254"/>
    </row>
    <row r="144" spans="2:11" s="1" customFormat="1" ht="18.75" customHeight="1">
      <c r="B144" s="239"/>
      <c r="C144" s="239"/>
      <c r="D144" s="239"/>
      <c r="E144" s="239"/>
      <c r="F144" s="240"/>
      <c r="G144" s="239"/>
      <c r="H144" s="239"/>
      <c r="I144" s="239"/>
      <c r="J144" s="239"/>
      <c r="K144" s="239"/>
    </row>
    <row r="145" spans="2:11" s="1" customFormat="1" ht="18.75" customHeight="1">
      <c r="B145" s="212"/>
      <c r="C145" s="212"/>
      <c r="D145" s="212"/>
      <c r="E145" s="212"/>
      <c r="F145" s="212"/>
      <c r="G145" s="212"/>
      <c r="H145" s="212"/>
      <c r="I145" s="212"/>
      <c r="J145" s="212"/>
      <c r="K145" s="212"/>
    </row>
    <row r="146" spans="2:11" s="1" customFormat="1" ht="7.5" customHeight="1">
      <c r="B146" s="213"/>
      <c r="C146" s="214"/>
      <c r="D146" s="214"/>
      <c r="E146" s="214"/>
      <c r="F146" s="214"/>
      <c r="G146" s="214"/>
      <c r="H146" s="214"/>
      <c r="I146" s="214"/>
      <c r="J146" s="214"/>
      <c r="K146" s="215"/>
    </row>
    <row r="147" spans="2:11" s="1" customFormat="1" ht="45" customHeight="1">
      <c r="B147" s="216"/>
      <c r="C147" s="360" t="s">
        <v>1218</v>
      </c>
      <c r="D147" s="360"/>
      <c r="E147" s="360"/>
      <c r="F147" s="360"/>
      <c r="G147" s="360"/>
      <c r="H147" s="360"/>
      <c r="I147" s="360"/>
      <c r="J147" s="360"/>
      <c r="K147" s="217"/>
    </row>
    <row r="148" spans="2:11" s="1" customFormat="1" ht="17.25" customHeight="1">
      <c r="B148" s="216"/>
      <c r="C148" s="218" t="s">
        <v>1153</v>
      </c>
      <c r="D148" s="218"/>
      <c r="E148" s="218"/>
      <c r="F148" s="218" t="s">
        <v>1154</v>
      </c>
      <c r="G148" s="219"/>
      <c r="H148" s="218" t="s">
        <v>54</v>
      </c>
      <c r="I148" s="218" t="s">
        <v>57</v>
      </c>
      <c r="J148" s="218" t="s">
        <v>1155</v>
      </c>
      <c r="K148" s="217"/>
    </row>
    <row r="149" spans="2:11" s="1" customFormat="1" ht="17.25" customHeight="1">
      <c r="B149" s="216"/>
      <c r="C149" s="220" t="s">
        <v>1156</v>
      </c>
      <c r="D149" s="220"/>
      <c r="E149" s="220"/>
      <c r="F149" s="221" t="s">
        <v>1157</v>
      </c>
      <c r="G149" s="222"/>
      <c r="H149" s="220"/>
      <c r="I149" s="220"/>
      <c r="J149" s="220" t="s">
        <v>1158</v>
      </c>
      <c r="K149" s="217"/>
    </row>
    <row r="150" spans="2:11" s="1" customFormat="1" ht="5.25" customHeight="1">
      <c r="B150" s="228"/>
      <c r="C150" s="223"/>
      <c r="D150" s="223"/>
      <c r="E150" s="223"/>
      <c r="F150" s="223"/>
      <c r="G150" s="224"/>
      <c r="H150" s="223"/>
      <c r="I150" s="223"/>
      <c r="J150" s="223"/>
      <c r="K150" s="251"/>
    </row>
    <row r="151" spans="2:11" s="1" customFormat="1" ht="15" customHeight="1">
      <c r="B151" s="228"/>
      <c r="C151" s="255" t="s">
        <v>1162</v>
      </c>
      <c r="D151" s="205"/>
      <c r="E151" s="205"/>
      <c r="F151" s="256" t="s">
        <v>1159</v>
      </c>
      <c r="G151" s="205"/>
      <c r="H151" s="255" t="s">
        <v>1199</v>
      </c>
      <c r="I151" s="255" t="s">
        <v>1161</v>
      </c>
      <c r="J151" s="255">
        <v>120</v>
      </c>
      <c r="K151" s="251"/>
    </row>
    <row r="152" spans="2:11" s="1" customFormat="1" ht="15" customHeight="1">
      <c r="B152" s="228"/>
      <c r="C152" s="255" t="s">
        <v>1208</v>
      </c>
      <c r="D152" s="205"/>
      <c r="E152" s="205"/>
      <c r="F152" s="256" t="s">
        <v>1159</v>
      </c>
      <c r="G152" s="205"/>
      <c r="H152" s="255" t="s">
        <v>1219</v>
      </c>
      <c r="I152" s="255" t="s">
        <v>1161</v>
      </c>
      <c r="J152" s="255" t="s">
        <v>1210</v>
      </c>
      <c r="K152" s="251"/>
    </row>
    <row r="153" spans="2:11" s="1" customFormat="1" ht="15" customHeight="1">
      <c r="B153" s="228"/>
      <c r="C153" s="255" t="s">
        <v>1107</v>
      </c>
      <c r="D153" s="205"/>
      <c r="E153" s="205"/>
      <c r="F153" s="256" t="s">
        <v>1159</v>
      </c>
      <c r="G153" s="205"/>
      <c r="H153" s="255" t="s">
        <v>1220</v>
      </c>
      <c r="I153" s="255" t="s">
        <v>1161</v>
      </c>
      <c r="J153" s="255" t="s">
        <v>1210</v>
      </c>
      <c r="K153" s="251"/>
    </row>
    <row r="154" spans="2:11" s="1" customFormat="1" ht="15" customHeight="1">
      <c r="B154" s="228"/>
      <c r="C154" s="255" t="s">
        <v>1164</v>
      </c>
      <c r="D154" s="205"/>
      <c r="E154" s="205"/>
      <c r="F154" s="256" t="s">
        <v>1165</v>
      </c>
      <c r="G154" s="205"/>
      <c r="H154" s="255" t="s">
        <v>1199</v>
      </c>
      <c r="I154" s="255" t="s">
        <v>1161</v>
      </c>
      <c r="J154" s="255">
        <v>50</v>
      </c>
      <c r="K154" s="251"/>
    </row>
    <row r="155" spans="2:11" s="1" customFormat="1" ht="15" customHeight="1">
      <c r="B155" s="228"/>
      <c r="C155" s="255" t="s">
        <v>1167</v>
      </c>
      <c r="D155" s="205"/>
      <c r="E155" s="205"/>
      <c r="F155" s="256" t="s">
        <v>1159</v>
      </c>
      <c r="G155" s="205"/>
      <c r="H155" s="255" t="s">
        <v>1199</v>
      </c>
      <c r="I155" s="255" t="s">
        <v>1169</v>
      </c>
      <c r="J155" s="255"/>
      <c r="K155" s="251"/>
    </row>
    <row r="156" spans="2:11" s="1" customFormat="1" ht="15" customHeight="1">
      <c r="B156" s="228"/>
      <c r="C156" s="255" t="s">
        <v>1178</v>
      </c>
      <c r="D156" s="205"/>
      <c r="E156" s="205"/>
      <c r="F156" s="256" t="s">
        <v>1165</v>
      </c>
      <c r="G156" s="205"/>
      <c r="H156" s="255" t="s">
        <v>1199</v>
      </c>
      <c r="I156" s="255" t="s">
        <v>1161</v>
      </c>
      <c r="J156" s="255">
        <v>50</v>
      </c>
      <c r="K156" s="251"/>
    </row>
    <row r="157" spans="2:11" s="1" customFormat="1" ht="15" customHeight="1">
      <c r="B157" s="228"/>
      <c r="C157" s="255" t="s">
        <v>1186</v>
      </c>
      <c r="D157" s="205"/>
      <c r="E157" s="205"/>
      <c r="F157" s="256" t="s">
        <v>1165</v>
      </c>
      <c r="G157" s="205"/>
      <c r="H157" s="255" t="s">
        <v>1199</v>
      </c>
      <c r="I157" s="255" t="s">
        <v>1161</v>
      </c>
      <c r="J157" s="255">
        <v>50</v>
      </c>
      <c r="K157" s="251"/>
    </row>
    <row r="158" spans="2:11" s="1" customFormat="1" ht="15" customHeight="1">
      <c r="B158" s="228"/>
      <c r="C158" s="255" t="s">
        <v>1184</v>
      </c>
      <c r="D158" s="205"/>
      <c r="E158" s="205"/>
      <c r="F158" s="256" t="s">
        <v>1165</v>
      </c>
      <c r="G158" s="205"/>
      <c r="H158" s="255" t="s">
        <v>1199</v>
      </c>
      <c r="I158" s="255" t="s">
        <v>1161</v>
      </c>
      <c r="J158" s="255">
        <v>50</v>
      </c>
      <c r="K158" s="251"/>
    </row>
    <row r="159" spans="2:11" s="1" customFormat="1" ht="15" customHeight="1">
      <c r="B159" s="228"/>
      <c r="C159" s="255" t="s">
        <v>105</v>
      </c>
      <c r="D159" s="205"/>
      <c r="E159" s="205"/>
      <c r="F159" s="256" t="s">
        <v>1159</v>
      </c>
      <c r="G159" s="205"/>
      <c r="H159" s="255" t="s">
        <v>1221</v>
      </c>
      <c r="I159" s="255" t="s">
        <v>1161</v>
      </c>
      <c r="J159" s="255" t="s">
        <v>1222</v>
      </c>
      <c r="K159" s="251"/>
    </row>
    <row r="160" spans="2:11" s="1" customFormat="1" ht="15" customHeight="1">
      <c r="B160" s="228"/>
      <c r="C160" s="255" t="s">
        <v>1223</v>
      </c>
      <c r="D160" s="205"/>
      <c r="E160" s="205"/>
      <c r="F160" s="256" t="s">
        <v>1159</v>
      </c>
      <c r="G160" s="205"/>
      <c r="H160" s="255" t="s">
        <v>1224</v>
      </c>
      <c r="I160" s="255" t="s">
        <v>1194</v>
      </c>
      <c r="J160" s="255"/>
      <c r="K160" s="251"/>
    </row>
    <row r="161" spans="2:11" s="1" customFormat="1" ht="15" customHeight="1">
      <c r="B161" s="257"/>
      <c r="C161" s="237"/>
      <c r="D161" s="237"/>
      <c r="E161" s="237"/>
      <c r="F161" s="237"/>
      <c r="G161" s="237"/>
      <c r="H161" s="237"/>
      <c r="I161" s="237"/>
      <c r="J161" s="237"/>
      <c r="K161" s="258"/>
    </row>
    <row r="162" spans="2:11" s="1" customFormat="1" ht="18.75" customHeight="1">
      <c r="B162" s="239"/>
      <c r="C162" s="249"/>
      <c r="D162" s="249"/>
      <c r="E162" s="249"/>
      <c r="F162" s="259"/>
      <c r="G162" s="249"/>
      <c r="H162" s="249"/>
      <c r="I162" s="249"/>
      <c r="J162" s="249"/>
      <c r="K162" s="239"/>
    </row>
    <row r="163" spans="2:11" s="1" customFormat="1" ht="18.75" customHeight="1">
      <c r="B163" s="212"/>
      <c r="C163" s="212"/>
      <c r="D163" s="212"/>
      <c r="E163" s="212"/>
      <c r="F163" s="212"/>
      <c r="G163" s="212"/>
      <c r="H163" s="212"/>
      <c r="I163" s="212"/>
      <c r="J163" s="212"/>
      <c r="K163" s="212"/>
    </row>
    <row r="164" spans="2:11" s="1" customFormat="1" ht="7.5" customHeight="1">
      <c r="B164" s="194"/>
      <c r="C164" s="195"/>
      <c r="D164" s="195"/>
      <c r="E164" s="195"/>
      <c r="F164" s="195"/>
      <c r="G164" s="195"/>
      <c r="H164" s="195"/>
      <c r="I164" s="195"/>
      <c r="J164" s="195"/>
      <c r="K164" s="196"/>
    </row>
    <row r="165" spans="2:11" s="1" customFormat="1" ht="45" customHeight="1">
      <c r="B165" s="197"/>
      <c r="C165" s="361" t="s">
        <v>1225</v>
      </c>
      <c r="D165" s="361"/>
      <c r="E165" s="361"/>
      <c r="F165" s="361"/>
      <c r="G165" s="361"/>
      <c r="H165" s="361"/>
      <c r="I165" s="361"/>
      <c r="J165" s="361"/>
      <c r="K165" s="198"/>
    </row>
    <row r="166" spans="2:11" s="1" customFormat="1" ht="17.25" customHeight="1">
      <c r="B166" s="197"/>
      <c r="C166" s="218" t="s">
        <v>1153</v>
      </c>
      <c r="D166" s="218"/>
      <c r="E166" s="218"/>
      <c r="F166" s="218" t="s">
        <v>1154</v>
      </c>
      <c r="G166" s="260"/>
      <c r="H166" s="261" t="s">
        <v>54</v>
      </c>
      <c r="I166" s="261" t="s">
        <v>57</v>
      </c>
      <c r="J166" s="218" t="s">
        <v>1155</v>
      </c>
      <c r="K166" s="198"/>
    </row>
    <row r="167" spans="2:11" s="1" customFormat="1" ht="17.25" customHeight="1">
      <c r="B167" s="199"/>
      <c r="C167" s="220" t="s">
        <v>1156</v>
      </c>
      <c r="D167" s="220"/>
      <c r="E167" s="220"/>
      <c r="F167" s="221" t="s">
        <v>1157</v>
      </c>
      <c r="G167" s="262"/>
      <c r="H167" s="263"/>
      <c r="I167" s="263"/>
      <c r="J167" s="220" t="s">
        <v>1158</v>
      </c>
      <c r="K167" s="200"/>
    </row>
    <row r="168" spans="2:11" s="1" customFormat="1" ht="5.25" customHeight="1">
      <c r="B168" s="228"/>
      <c r="C168" s="223"/>
      <c r="D168" s="223"/>
      <c r="E168" s="223"/>
      <c r="F168" s="223"/>
      <c r="G168" s="224"/>
      <c r="H168" s="223"/>
      <c r="I168" s="223"/>
      <c r="J168" s="223"/>
      <c r="K168" s="251"/>
    </row>
    <row r="169" spans="2:11" s="1" customFormat="1" ht="15" customHeight="1">
      <c r="B169" s="228"/>
      <c r="C169" s="205" t="s">
        <v>1162</v>
      </c>
      <c r="D169" s="205"/>
      <c r="E169" s="205"/>
      <c r="F169" s="226" t="s">
        <v>1159</v>
      </c>
      <c r="G169" s="205"/>
      <c r="H169" s="205" t="s">
        <v>1199</v>
      </c>
      <c r="I169" s="205" t="s">
        <v>1161</v>
      </c>
      <c r="J169" s="205">
        <v>120</v>
      </c>
      <c r="K169" s="251"/>
    </row>
    <row r="170" spans="2:11" s="1" customFormat="1" ht="15" customHeight="1">
      <c r="B170" s="228"/>
      <c r="C170" s="205" t="s">
        <v>1208</v>
      </c>
      <c r="D170" s="205"/>
      <c r="E170" s="205"/>
      <c r="F170" s="226" t="s">
        <v>1159</v>
      </c>
      <c r="G170" s="205"/>
      <c r="H170" s="205" t="s">
        <v>1209</v>
      </c>
      <c r="I170" s="205" t="s">
        <v>1161</v>
      </c>
      <c r="J170" s="205" t="s">
        <v>1210</v>
      </c>
      <c r="K170" s="251"/>
    </row>
    <row r="171" spans="2:11" s="1" customFormat="1" ht="15" customHeight="1">
      <c r="B171" s="228"/>
      <c r="C171" s="205" t="s">
        <v>1107</v>
      </c>
      <c r="D171" s="205"/>
      <c r="E171" s="205"/>
      <c r="F171" s="226" t="s">
        <v>1159</v>
      </c>
      <c r="G171" s="205"/>
      <c r="H171" s="205" t="s">
        <v>1226</v>
      </c>
      <c r="I171" s="205" t="s">
        <v>1161</v>
      </c>
      <c r="J171" s="205" t="s">
        <v>1210</v>
      </c>
      <c r="K171" s="251"/>
    </row>
    <row r="172" spans="2:11" s="1" customFormat="1" ht="15" customHeight="1">
      <c r="B172" s="228"/>
      <c r="C172" s="205" t="s">
        <v>1164</v>
      </c>
      <c r="D172" s="205"/>
      <c r="E172" s="205"/>
      <c r="F172" s="226" t="s">
        <v>1165</v>
      </c>
      <c r="G172" s="205"/>
      <c r="H172" s="205" t="s">
        <v>1226</v>
      </c>
      <c r="I172" s="205" t="s">
        <v>1161</v>
      </c>
      <c r="J172" s="205">
        <v>50</v>
      </c>
      <c r="K172" s="251"/>
    </row>
    <row r="173" spans="2:11" s="1" customFormat="1" ht="15" customHeight="1">
      <c r="B173" s="228"/>
      <c r="C173" s="205" t="s">
        <v>1167</v>
      </c>
      <c r="D173" s="205"/>
      <c r="E173" s="205"/>
      <c r="F173" s="226" t="s">
        <v>1159</v>
      </c>
      <c r="G173" s="205"/>
      <c r="H173" s="205" t="s">
        <v>1226</v>
      </c>
      <c r="I173" s="205" t="s">
        <v>1169</v>
      </c>
      <c r="J173" s="205"/>
      <c r="K173" s="251"/>
    </row>
    <row r="174" spans="2:11" s="1" customFormat="1" ht="15" customHeight="1">
      <c r="B174" s="228"/>
      <c r="C174" s="205" t="s">
        <v>1178</v>
      </c>
      <c r="D174" s="205"/>
      <c r="E174" s="205"/>
      <c r="F174" s="226" t="s">
        <v>1165</v>
      </c>
      <c r="G174" s="205"/>
      <c r="H174" s="205" t="s">
        <v>1226</v>
      </c>
      <c r="I174" s="205" t="s">
        <v>1161</v>
      </c>
      <c r="J174" s="205">
        <v>50</v>
      </c>
      <c r="K174" s="251"/>
    </row>
    <row r="175" spans="2:11" s="1" customFormat="1" ht="15" customHeight="1">
      <c r="B175" s="228"/>
      <c r="C175" s="205" t="s">
        <v>1186</v>
      </c>
      <c r="D175" s="205"/>
      <c r="E175" s="205"/>
      <c r="F175" s="226" t="s">
        <v>1165</v>
      </c>
      <c r="G175" s="205"/>
      <c r="H175" s="205" t="s">
        <v>1226</v>
      </c>
      <c r="I175" s="205" t="s">
        <v>1161</v>
      </c>
      <c r="J175" s="205">
        <v>50</v>
      </c>
      <c r="K175" s="251"/>
    </row>
    <row r="176" spans="2:11" s="1" customFormat="1" ht="15" customHeight="1">
      <c r="B176" s="228"/>
      <c r="C176" s="205" t="s">
        <v>1184</v>
      </c>
      <c r="D176" s="205"/>
      <c r="E176" s="205"/>
      <c r="F176" s="226" t="s">
        <v>1165</v>
      </c>
      <c r="G176" s="205"/>
      <c r="H176" s="205" t="s">
        <v>1226</v>
      </c>
      <c r="I176" s="205" t="s">
        <v>1161</v>
      </c>
      <c r="J176" s="205">
        <v>50</v>
      </c>
      <c r="K176" s="251"/>
    </row>
    <row r="177" spans="2:11" s="1" customFormat="1" ht="15" customHeight="1">
      <c r="B177" s="228"/>
      <c r="C177" s="205" t="s">
        <v>124</v>
      </c>
      <c r="D177" s="205"/>
      <c r="E177" s="205"/>
      <c r="F177" s="226" t="s">
        <v>1159</v>
      </c>
      <c r="G177" s="205"/>
      <c r="H177" s="205" t="s">
        <v>1227</v>
      </c>
      <c r="I177" s="205" t="s">
        <v>1228</v>
      </c>
      <c r="J177" s="205"/>
      <c r="K177" s="251"/>
    </row>
    <row r="178" spans="2:11" s="1" customFormat="1" ht="15" customHeight="1">
      <c r="B178" s="228"/>
      <c r="C178" s="205" t="s">
        <v>57</v>
      </c>
      <c r="D178" s="205"/>
      <c r="E178" s="205"/>
      <c r="F178" s="226" t="s">
        <v>1159</v>
      </c>
      <c r="G178" s="205"/>
      <c r="H178" s="205" t="s">
        <v>1229</v>
      </c>
      <c r="I178" s="205" t="s">
        <v>1230</v>
      </c>
      <c r="J178" s="205">
        <v>1</v>
      </c>
      <c r="K178" s="251"/>
    </row>
    <row r="179" spans="2:11" s="1" customFormat="1" ht="15" customHeight="1">
      <c r="B179" s="228"/>
      <c r="C179" s="205" t="s">
        <v>53</v>
      </c>
      <c r="D179" s="205"/>
      <c r="E179" s="205"/>
      <c r="F179" s="226" t="s">
        <v>1159</v>
      </c>
      <c r="G179" s="205"/>
      <c r="H179" s="205" t="s">
        <v>1231</v>
      </c>
      <c r="I179" s="205" t="s">
        <v>1161</v>
      </c>
      <c r="J179" s="205">
        <v>20</v>
      </c>
      <c r="K179" s="251"/>
    </row>
    <row r="180" spans="2:11" s="1" customFormat="1" ht="15" customHeight="1">
      <c r="B180" s="228"/>
      <c r="C180" s="205" t="s">
        <v>54</v>
      </c>
      <c r="D180" s="205"/>
      <c r="E180" s="205"/>
      <c r="F180" s="226" t="s">
        <v>1159</v>
      </c>
      <c r="G180" s="205"/>
      <c r="H180" s="205" t="s">
        <v>1232</v>
      </c>
      <c r="I180" s="205" t="s">
        <v>1161</v>
      </c>
      <c r="J180" s="205">
        <v>255</v>
      </c>
      <c r="K180" s="251"/>
    </row>
    <row r="181" spans="2:11" s="1" customFormat="1" ht="15" customHeight="1">
      <c r="B181" s="228"/>
      <c r="C181" s="205" t="s">
        <v>125</v>
      </c>
      <c r="D181" s="205"/>
      <c r="E181" s="205"/>
      <c r="F181" s="226" t="s">
        <v>1159</v>
      </c>
      <c r="G181" s="205"/>
      <c r="H181" s="205" t="s">
        <v>1123</v>
      </c>
      <c r="I181" s="205" t="s">
        <v>1161</v>
      </c>
      <c r="J181" s="205">
        <v>10</v>
      </c>
      <c r="K181" s="251"/>
    </row>
    <row r="182" spans="2:11" s="1" customFormat="1" ht="15" customHeight="1">
      <c r="B182" s="228"/>
      <c r="C182" s="205" t="s">
        <v>126</v>
      </c>
      <c r="D182" s="205"/>
      <c r="E182" s="205"/>
      <c r="F182" s="226" t="s">
        <v>1159</v>
      </c>
      <c r="G182" s="205"/>
      <c r="H182" s="205" t="s">
        <v>1233</v>
      </c>
      <c r="I182" s="205" t="s">
        <v>1194</v>
      </c>
      <c r="J182" s="205"/>
      <c r="K182" s="251"/>
    </row>
    <row r="183" spans="2:11" s="1" customFormat="1" ht="15" customHeight="1">
      <c r="B183" s="228"/>
      <c r="C183" s="205" t="s">
        <v>1234</v>
      </c>
      <c r="D183" s="205"/>
      <c r="E183" s="205"/>
      <c r="F183" s="226" t="s">
        <v>1159</v>
      </c>
      <c r="G183" s="205"/>
      <c r="H183" s="205" t="s">
        <v>1235</v>
      </c>
      <c r="I183" s="205" t="s">
        <v>1194</v>
      </c>
      <c r="J183" s="205"/>
      <c r="K183" s="251"/>
    </row>
    <row r="184" spans="2:11" s="1" customFormat="1" ht="15" customHeight="1">
      <c r="B184" s="228"/>
      <c r="C184" s="205" t="s">
        <v>1223</v>
      </c>
      <c r="D184" s="205"/>
      <c r="E184" s="205"/>
      <c r="F184" s="226" t="s">
        <v>1159</v>
      </c>
      <c r="G184" s="205"/>
      <c r="H184" s="205" t="s">
        <v>1236</v>
      </c>
      <c r="I184" s="205" t="s">
        <v>1194</v>
      </c>
      <c r="J184" s="205"/>
      <c r="K184" s="251"/>
    </row>
    <row r="185" spans="2:11" s="1" customFormat="1" ht="15" customHeight="1">
      <c r="B185" s="228"/>
      <c r="C185" s="205" t="s">
        <v>128</v>
      </c>
      <c r="D185" s="205"/>
      <c r="E185" s="205"/>
      <c r="F185" s="226" t="s">
        <v>1165</v>
      </c>
      <c r="G185" s="205"/>
      <c r="H185" s="205" t="s">
        <v>1237</v>
      </c>
      <c r="I185" s="205" t="s">
        <v>1161</v>
      </c>
      <c r="J185" s="205">
        <v>50</v>
      </c>
      <c r="K185" s="251"/>
    </row>
    <row r="186" spans="2:11" s="1" customFormat="1" ht="15" customHeight="1">
      <c r="B186" s="228"/>
      <c r="C186" s="205" t="s">
        <v>1238</v>
      </c>
      <c r="D186" s="205"/>
      <c r="E186" s="205"/>
      <c r="F186" s="226" t="s">
        <v>1165</v>
      </c>
      <c r="G186" s="205"/>
      <c r="H186" s="205" t="s">
        <v>1239</v>
      </c>
      <c r="I186" s="205" t="s">
        <v>1240</v>
      </c>
      <c r="J186" s="205"/>
      <c r="K186" s="251"/>
    </row>
    <row r="187" spans="2:11" s="1" customFormat="1" ht="15" customHeight="1">
      <c r="B187" s="228"/>
      <c r="C187" s="205" t="s">
        <v>1241</v>
      </c>
      <c r="D187" s="205"/>
      <c r="E187" s="205"/>
      <c r="F187" s="226" t="s">
        <v>1165</v>
      </c>
      <c r="G187" s="205"/>
      <c r="H187" s="205" t="s">
        <v>1242</v>
      </c>
      <c r="I187" s="205" t="s">
        <v>1240</v>
      </c>
      <c r="J187" s="205"/>
      <c r="K187" s="251"/>
    </row>
    <row r="188" spans="2:11" s="1" customFormat="1" ht="15" customHeight="1">
      <c r="B188" s="228"/>
      <c r="C188" s="205" t="s">
        <v>1243</v>
      </c>
      <c r="D188" s="205"/>
      <c r="E188" s="205"/>
      <c r="F188" s="226" t="s">
        <v>1165</v>
      </c>
      <c r="G188" s="205"/>
      <c r="H188" s="205" t="s">
        <v>1244</v>
      </c>
      <c r="I188" s="205" t="s">
        <v>1240</v>
      </c>
      <c r="J188" s="205"/>
      <c r="K188" s="251"/>
    </row>
    <row r="189" spans="2:11" s="1" customFormat="1" ht="15" customHeight="1">
      <c r="B189" s="228"/>
      <c r="C189" s="264" t="s">
        <v>1245</v>
      </c>
      <c r="D189" s="205"/>
      <c r="E189" s="205"/>
      <c r="F189" s="226" t="s">
        <v>1165</v>
      </c>
      <c r="G189" s="205"/>
      <c r="H189" s="205" t="s">
        <v>1246</v>
      </c>
      <c r="I189" s="205" t="s">
        <v>1247</v>
      </c>
      <c r="J189" s="265" t="s">
        <v>1248</v>
      </c>
      <c r="K189" s="251"/>
    </row>
    <row r="190" spans="2:11" s="1" customFormat="1" ht="15" customHeight="1">
      <c r="B190" s="228"/>
      <c r="C190" s="264" t="s">
        <v>42</v>
      </c>
      <c r="D190" s="205"/>
      <c r="E190" s="205"/>
      <c r="F190" s="226" t="s">
        <v>1159</v>
      </c>
      <c r="G190" s="205"/>
      <c r="H190" s="202" t="s">
        <v>1249</v>
      </c>
      <c r="I190" s="205" t="s">
        <v>1250</v>
      </c>
      <c r="J190" s="205"/>
      <c r="K190" s="251"/>
    </row>
    <row r="191" spans="2:11" s="1" customFormat="1" ht="15" customHeight="1">
      <c r="B191" s="228"/>
      <c r="C191" s="264" t="s">
        <v>1251</v>
      </c>
      <c r="D191" s="205"/>
      <c r="E191" s="205"/>
      <c r="F191" s="226" t="s">
        <v>1159</v>
      </c>
      <c r="G191" s="205"/>
      <c r="H191" s="205" t="s">
        <v>1252</v>
      </c>
      <c r="I191" s="205" t="s">
        <v>1194</v>
      </c>
      <c r="J191" s="205"/>
      <c r="K191" s="251"/>
    </row>
    <row r="192" spans="2:11" s="1" customFormat="1" ht="15" customHeight="1">
      <c r="B192" s="228"/>
      <c r="C192" s="264" t="s">
        <v>1253</v>
      </c>
      <c r="D192" s="205"/>
      <c r="E192" s="205"/>
      <c r="F192" s="226" t="s">
        <v>1159</v>
      </c>
      <c r="G192" s="205"/>
      <c r="H192" s="205" t="s">
        <v>1254</v>
      </c>
      <c r="I192" s="205" t="s">
        <v>1194</v>
      </c>
      <c r="J192" s="205"/>
      <c r="K192" s="251"/>
    </row>
    <row r="193" spans="2:11" s="1" customFormat="1" ht="15" customHeight="1">
      <c r="B193" s="228"/>
      <c r="C193" s="264" t="s">
        <v>1255</v>
      </c>
      <c r="D193" s="205"/>
      <c r="E193" s="205"/>
      <c r="F193" s="226" t="s">
        <v>1165</v>
      </c>
      <c r="G193" s="205"/>
      <c r="H193" s="205" t="s">
        <v>1256</v>
      </c>
      <c r="I193" s="205" t="s">
        <v>1194</v>
      </c>
      <c r="J193" s="205"/>
      <c r="K193" s="251"/>
    </row>
    <row r="194" spans="2:11" s="1" customFormat="1" ht="15" customHeight="1">
      <c r="B194" s="257"/>
      <c r="C194" s="266"/>
      <c r="D194" s="237"/>
      <c r="E194" s="237"/>
      <c r="F194" s="237"/>
      <c r="G194" s="237"/>
      <c r="H194" s="237"/>
      <c r="I194" s="237"/>
      <c r="J194" s="237"/>
      <c r="K194" s="258"/>
    </row>
    <row r="195" spans="2:11" s="1" customFormat="1" ht="18.75" customHeight="1">
      <c r="B195" s="239"/>
      <c r="C195" s="249"/>
      <c r="D195" s="249"/>
      <c r="E195" s="249"/>
      <c r="F195" s="259"/>
      <c r="G195" s="249"/>
      <c r="H195" s="249"/>
      <c r="I195" s="249"/>
      <c r="J195" s="249"/>
      <c r="K195" s="239"/>
    </row>
    <row r="196" spans="2:11" s="1" customFormat="1" ht="18.75" customHeight="1">
      <c r="B196" s="239"/>
      <c r="C196" s="249"/>
      <c r="D196" s="249"/>
      <c r="E196" s="249"/>
      <c r="F196" s="259"/>
      <c r="G196" s="249"/>
      <c r="H196" s="249"/>
      <c r="I196" s="249"/>
      <c r="J196" s="249"/>
      <c r="K196" s="239"/>
    </row>
    <row r="197" spans="2:11" s="1" customFormat="1" ht="18.75" customHeight="1">
      <c r="B197" s="212"/>
      <c r="C197" s="212"/>
      <c r="D197" s="212"/>
      <c r="E197" s="212"/>
      <c r="F197" s="212"/>
      <c r="G197" s="212"/>
      <c r="H197" s="212"/>
      <c r="I197" s="212"/>
      <c r="J197" s="212"/>
      <c r="K197" s="212"/>
    </row>
    <row r="198" spans="2:11" s="1" customFormat="1" ht="13.5">
      <c r="B198" s="194"/>
      <c r="C198" s="195"/>
      <c r="D198" s="195"/>
      <c r="E198" s="195"/>
      <c r="F198" s="195"/>
      <c r="G198" s="195"/>
      <c r="H198" s="195"/>
      <c r="I198" s="195"/>
      <c r="J198" s="195"/>
      <c r="K198" s="196"/>
    </row>
    <row r="199" spans="2:11" s="1" customFormat="1" ht="21">
      <c r="B199" s="197"/>
      <c r="C199" s="361" t="s">
        <v>1257</v>
      </c>
      <c r="D199" s="361"/>
      <c r="E199" s="361"/>
      <c r="F199" s="361"/>
      <c r="G199" s="361"/>
      <c r="H199" s="361"/>
      <c r="I199" s="361"/>
      <c r="J199" s="361"/>
      <c r="K199" s="198"/>
    </row>
    <row r="200" spans="2:11" s="1" customFormat="1" ht="25.5" customHeight="1">
      <c r="B200" s="197"/>
      <c r="C200" s="267" t="s">
        <v>1258</v>
      </c>
      <c r="D200" s="267"/>
      <c r="E200" s="267"/>
      <c r="F200" s="267" t="s">
        <v>1259</v>
      </c>
      <c r="G200" s="268"/>
      <c r="H200" s="362" t="s">
        <v>1260</v>
      </c>
      <c r="I200" s="362"/>
      <c r="J200" s="362"/>
      <c r="K200" s="198"/>
    </row>
    <row r="201" spans="2:11" s="1" customFormat="1" ht="5.25" customHeight="1">
      <c r="B201" s="228"/>
      <c r="C201" s="223"/>
      <c r="D201" s="223"/>
      <c r="E201" s="223"/>
      <c r="F201" s="223"/>
      <c r="G201" s="249"/>
      <c r="H201" s="223"/>
      <c r="I201" s="223"/>
      <c r="J201" s="223"/>
      <c r="K201" s="251"/>
    </row>
    <row r="202" spans="2:11" s="1" customFormat="1" ht="15" customHeight="1">
      <c r="B202" s="228"/>
      <c r="C202" s="205" t="s">
        <v>1250</v>
      </c>
      <c r="D202" s="205"/>
      <c r="E202" s="205"/>
      <c r="F202" s="226" t="s">
        <v>43</v>
      </c>
      <c r="G202" s="205"/>
      <c r="H202" s="363" t="s">
        <v>1261</v>
      </c>
      <c r="I202" s="363"/>
      <c r="J202" s="363"/>
      <c r="K202" s="251"/>
    </row>
    <row r="203" spans="2:11" s="1" customFormat="1" ht="15" customHeight="1">
      <c r="B203" s="228"/>
      <c r="C203" s="205"/>
      <c r="D203" s="205"/>
      <c r="E203" s="205"/>
      <c r="F203" s="226" t="s">
        <v>44</v>
      </c>
      <c r="G203" s="205"/>
      <c r="H203" s="363" t="s">
        <v>1262</v>
      </c>
      <c r="I203" s="363"/>
      <c r="J203" s="363"/>
      <c r="K203" s="251"/>
    </row>
    <row r="204" spans="2:11" s="1" customFormat="1" ht="15" customHeight="1">
      <c r="B204" s="228"/>
      <c r="C204" s="205"/>
      <c r="D204" s="205"/>
      <c r="E204" s="205"/>
      <c r="F204" s="226" t="s">
        <v>47</v>
      </c>
      <c r="G204" s="205"/>
      <c r="H204" s="363" t="s">
        <v>1263</v>
      </c>
      <c r="I204" s="363"/>
      <c r="J204" s="363"/>
      <c r="K204" s="251"/>
    </row>
    <row r="205" spans="2:11" s="1" customFormat="1" ht="15" customHeight="1">
      <c r="B205" s="228"/>
      <c r="C205" s="205"/>
      <c r="D205" s="205"/>
      <c r="E205" s="205"/>
      <c r="F205" s="226" t="s">
        <v>45</v>
      </c>
      <c r="G205" s="205"/>
      <c r="H205" s="363" t="s">
        <v>1264</v>
      </c>
      <c r="I205" s="363"/>
      <c r="J205" s="363"/>
      <c r="K205" s="251"/>
    </row>
    <row r="206" spans="2:11" s="1" customFormat="1" ht="15" customHeight="1">
      <c r="B206" s="228"/>
      <c r="C206" s="205"/>
      <c r="D206" s="205"/>
      <c r="E206" s="205"/>
      <c r="F206" s="226" t="s">
        <v>46</v>
      </c>
      <c r="G206" s="205"/>
      <c r="H206" s="363" t="s">
        <v>1265</v>
      </c>
      <c r="I206" s="363"/>
      <c r="J206" s="363"/>
      <c r="K206" s="251"/>
    </row>
    <row r="207" spans="2:11" s="1" customFormat="1" ht="15" customHeight="1">
      <c r="B207" s="228"/>
      <c r="C207" s="205"/>
      <c r="D207" s="205"/>
      <c r="E207" s="205"/>
      <c r="F207" s="226"/>
      <c r="G207" s="205"/>
      <c r="H207" s="205"/>
      <c r="I207" s="205"/>
      <c r="J207" s="205"/>
      <c r="K207" s="251"/>
    </row>
    <row r="208" spans="2:11" s="1" customFormat="1" ht="15" customHeight="1">
      <c r="B208" s="228"/>
      <c r="C208" s="205" t="s">
        <v>1206</v>
      </c>
      <c r="D208" s="205"/>
      <c r="E208" s="205"/>
      <c r="F208" s="226" t="s">
        <v>79</v>
      </c>
      <c r="G208" s="205"/>
      <c r="H208" s="363" t="s">
        <v>1266</v>
      </c>
      <c r="I208" s="363"/>
      <c r="J208" s="363"/>
      <c r="K208" s="251"/>
    </row>
    <row r="209" spans="2:11" s="1" customFormat="1" ht="15" customHeight="1">
      <c r="B209" s="228"/>
      <c r="C209" s="205"/>
      <c r="D209" s="205"/>
      <c r="E209" s="205"/>
      <c r="F209" s="226" t="s">
        <v>1101</v>
      </c>
      <c r="G209" s="205"/>
      <c r="H209" s="363" t="s">
        <v>1102</v>
      </c>
      <c r="I209" s="363"/>
      <c r="J209" s="363"/>
      <c r="K209" s="251"/>
    </row>
    <row r="210" spans="2:11" s="1" customFormat="1" ht="15" customHeight="1">
      <c r="B210" s="228"/>
      <c r="C210" s="205"/>
      <c r="D210" s="205"/>
      <c r="E210" s="205"/>
      <c r="F210" s="226" t="s">
        <v>1099</v>
      </c>
      <c r="G210" s="205"/>
      <c r="H210" s="363" t="s">
        <v>1267</v>
      </c>
      <c r="I210" s="363"/>
      <c r="J210" s="363"/>
      <c r="K210" s="251"/>
    </row>
    <row r="211" spans="2:11" s="1" customFormat="1" ht="15" customHeight="1">
      <c r="B211" s="269"/>
      <c r="C211" s="205"/>
      <c r="D211" s="205"/>
      <c r="E211" s="205"/>
      <c r="F211" s="226" t="s">
        <v>1103</v>
      </c>
      <c r="G211" s="264"/>
      <c r="H211" s="364" t="s">
        <v>1104</v>
      </c>
      <c r="I211" s="364"/>
      <c r="J211" s="364"/>
      <c r="K211" s="270"/>
    </row>
    <row r="212" spans="2:11" s="1" customFormat="1" ht="15" customHeight="1">
      <c r="B212" s="269"/>
      <c r="C212" s="205"/>
      <c r="D212" s="205"/>
      <c r="E212" s="205"/>
      <c r="F212" s="226" t="s">
        <v>1105</v>
      </c>
      <c r="G212" s="264"/>
      <c r="H212" s="364" t="s">
        <v>1268</v>
      </c>
      <c r="I212" s="364"/>
      <c r="J212" s="364"/>
      <c r="K212" s="270"/>
    </row>
    <row r="213" spans="2:11" s="1" customFormat="1" ht="15" customHeight="1">
      <c r="B213" s="269"/>
      <c r="C213" s="205"/>
      <c r="D213" s="205"/>
      <c r="E213" s="205"/>
      <c r="F213" s="226"/>
      <c r="G213" s="264"/>
      <c r="H213" s="255"/>
      <c r="I213" s="255"/>
      <c r="J213" s="255"/>
      <c r="K213" s="270"/>
    </row>
    <row r="214" spans="2:11" s="1" customFormat="1" ht="15" customHeight="1">
      <c r="B214" s="269"/>
      <c r="C214" s="205" t="s">
        <v>1230</v>
      </c>
      <c r="D214" s="205"/>
      <c r="E214" s="205"/>
      <c r="F214" s="226">
        <v>1</v>
      </c>
      <c r="G214" s="264"/>
      <c r="H214" s="364" t="s">
        <v>1269</v>
      </c>
      <c r="I214" s="364"/>
      <c r="J214" s="364"/>
      <c r="K214" s="270"/>
    </row>
    <row r="215" spans="2:11" s="1" customFormat="1" ht="15" customHeight="1">
      <c r="B215" s="269"/>
      <c r="C215" s="205"/>
      <c r="D215" s="205"/>
      <c r="E215" s="205"/>
      <c r="F215" s="226">
        <v>2</v>
      </c>
      <c r="G215" s="264"/>
      <c r="H215" s="364" t="s">
        <v>1270</v>
      </c>
      <c r="I215" s="364"/>
      <c r="J215" s="364"/>
      <c r="K215" s="270"/>
    </row>
    <row r="216" spans="2:11" s="1" customFormat="1" ht="15" customHeight="1">
      <c r="B216" s="269"/>
      <c r="C216" s="205"/>
      <c r="D216" s="205"/>
      <c r="E216" s="205"/>
      <c r="F216" s="226">
        <v>3</v>
      </c>
      <c r="G216" s="264"/>
      <c r="H216" s="364" t="s">
        <v>1271</v>
      </c>
      <c r="I216" s="364"/>
      <c r="J216" s="364"/>
      <c r="K216" s="270"/>
    </row>
    <row r="217" spans="2:11" s="1" customFormat="1" ht="15" customHeight="1">
      <c r="B217" s="269"/>
      <c r="C217" s="205"/>
      <c r="D217" s="205"/>
      <c r="E217" s="205"/>
      <c r="F217" s="226">
        <v>4</v>
      </c>
      <c r="G217" s="264"/>
      <c r="H217" s="364" t="s">
        <v>1272</v>
      </c>
      <c r="I217" s="364"/>
      <c r="J217" s="364"/>
      <c r="K217" s="270"/>
    </row>
    <row r="218" spans="2:11" s="1" customFormat="1" ht="12.75" customHeight="1">
      <c r="B218" s="271"/>
      <c r="C218" s="272"/>
      <c r="D218" s="272"/>
      <c r="E218" s="272"/>
      <c r="F218" s="272"/>
      <c r="G218" s="272"/>
      <c r="H218" s="272"/>
      <c r="I218" s="272"/>
      <c r="J218" s="272"/>
      <c r="K218" s="27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01 - Stavební část</vt:lpstr>
      <vt:lpstr>02 - Zdravotechnika</vt:lpstr>
      <vt:lpstr>03 - Vytápění</vt:lpstr>
      <vt:lpstr>04 - Elektroinstalace</vt:lpstr>
      <vt:lpstr>05 - VZT</vt:lpstr>
      <vt:lpstr>06 - Interiérové vybavení</vt:lpstr>
      <vt:lpstr>07 - VRN</vt:lpstr>
      <vt:lpstr>Pokyny pro vyplnění</vt:lpstr>
      <vt:lpstr>'01 - Stavební část'!Názvy_tisku</vt:lpstr>
      <vt:lpstr>'02 - Zdravotechnika'!Názvy_tisku</vt:lpstr>
      <vt:lpstr>'03 - Vytápění'!Názvy_tisku</vt:lpstr>
      <vt:lpstr>'04 - Elektroinstalace'!Názvy_tisku</vt:lpstr>
      <vt:lpstr>'05 - VZT'!Názvy_tisku</vt:lpstr>
      <vt:lpstr>'06 - Interiérové vybavení'!Názvy_tisku</vt:lpstr>
      <vt:lpstr>'07 - VRN'!Názvy_tisku</vt:lpstr>
      <vt:lpstr>'Rekapitulace stavby'!Názvy_tisku</vt:lpstr>
      <vt:lpstr>'01 - Stavební část'!Oblast_tisku</vt:lpstr>
      <vt:lpstr>'02 - Zdravotechnika'!Oblast_tisku</vt:lpstr>
      <vt:lpstr>'03 - Vytápění'!Oblast_tisku</vt:lpstr>
      <vt:lpstr>'04 - Elektroinstalace'!Oblast_tisku</vt:lpstr>
      <vt:lpstr>'05 - VZT'!Oblast_tisku</vt:lpstr>
      <vt:lpstr>'06 - Interiérové vybavení'!Oblast_tisku</vt:lpstr>
      <vt:lpstr>'07 - VRN'!Oblast_tisku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Václav Pastirik</dc:creator>
  <cp:lastModifiedBy>Pavel</cp:lastModifiedBy>
  <cp:lastPrinted>2020-10-25T23:08:33Z</cp:lastPrinted>
  <dcterms:created xsi:type="dcterms:W3CDTF">2020-09-13T17:52:14Z</dcterms:created>
  <dcterms:modified xsi:type="dcterms:W3CDTF">2020-11-11T09:34:15Z</dcterms:modified>
</cp:coreProperties>
</file>